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hidePivotFieldList="1" defaultThemeVersion="166925"/>
  <mc:AlternateContent xmlns:mc="http://schemas.openxmlformats.org/markup-compatibility/2006">
    <mc:Choice Requires="x15">
      <x15ac:absPath xmlns:x15ac="http://schemas.microsoft.com/office/spreadsheetml/2010/11/ac" url="Y:\LfL\OrgEinheiten\IAB\IAB4\Streuobst\__Wirtschaftlichkeit_Praxis-Netzwerk\Wirtschaftlichkeit\"/>
    </mc:Choice>
  </mc:AlternateContent>
  <xr:revisionPtr revIDLastSave="0" documentId="8_{1889C526-941E-45C4-98CA-21A6A479DE2E}" xr6:coauthVersionLast="47" xr6:coauthVersionMax="47" xr10:uidLastSave="{00000000-0000-0000-0000-000000000000}"/>
  <workbookProtection workbookAlgorithmName="SHA-512" workbookHashValue="WAeXeYJfoSMPbgnafi3syM3AATksnv9qqFxrIYv8uGJp5CNncSieSxoN09tA3oOlMoZT5bVD/8A2ELznmBOJMQ==" workbookSaltValue="3saSZ/ZjlIxqBY90Lc4chw==" workbookSpinCount="100000" lockStructure="1"/>
  <bookViews>
    <workbookView xWindow="-108" yWindow="-108" windowWidth="30936" windowHeight="16896" tabRatio="637" xr2:uid="{624E3745-57B3-4C18-8EBC-E8B4ECC782CB}"/>
  </bookViews>
  <sheets>
    <sheet name="Hinweise" sheetId="10" r:id="rId1"/>
    <sheet name="Übersicht" sheetId="1" r:id="rId2"/>
    <sheet name="Ertrag" sheetId="4" r:id="rId3"/>
    <sheet name="Arbeitszeit" sheetId="2" r:id="rId4"/>
    <sheet name="Kosten" sheetId="3" r:id="rId5"/>
    <sheet name="Förderung" sheetId="5" r:id="rId6"/>
    <sheet name="Quellen" sheetId="11" r:id="rId7"/>
    <sheet name="Rechentabelle" sheetId="6" state="hidden" r:id="rId8"/>
  </sheets>
  <definedNames>
    <definedName name="_xlnm._FilterDatabase" localSheetId="6" hidden="1">Quellen!$B$5:$B$16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3" l="1"/>
  <c r="C30" i="1" l="1"/>
  <c r="J21" i="3" l="1"/>
  <c r="I21" i="3"/>
  <c r="H21" i="3"/>
  <c r="G21" i="3"/>
  <c r="F21" i="3"/>
  <c r="E21" i="3"/>
  <c r="D21" i="3"/>
  <c r="J14" i="3"/>
  <c r="H14" i="3"/>
  <c r="G14" i="3"/>
  <c r="F14" i="3"/>
  <c r="E14" i="3"/>
  <c r="D14" i="3"/>
  <c r="I20" i="2"/>
  <c r="H20" i="2"/>
  <c r="G20" i="2"/>
  <c r="F20" i="2"/>
  <c r="E20" i="2"/>
  <c r="I19" i="2"/>
  <c r="H19" i="2"/>
  <c r="G19" i="2"/>
  <c r="F19" i="2"/>
  <c r="E19" i="2"/>
  <c r="H12" i="3" l="1"/>
  <c r="G12" i="3"/>
  <c r="K5" i="2"/>
  <c r="K6" i="2"/>
  <c r="K8" i="2"/>
  <c r="K19" i="2"/>
  <c r="J5" i="2"/>
  <c r="J6" i="2"/>
  <c r="J7" i="2"/>
  <c r="J8" i="2"/>
  <c r="J9" i="2"/>
  <c r="J10" i="2"/>
  <c r="J19" i="2"/>
  <c r="F9" i="2"/>
  <c r="I11" i="2" l="1"/>
  <c r="C6" i="1" l="1"/>
  <c r="J23" i="5" l="1"/>
  <c r="J15" i="5"/>
  <c r="H20" i="5"/>
  <c r="H27" i="5"/>
  <c r="E13" i="3"/>
  <c r="F13" i="3"/>
  <c r="G13" i="3"/>
  <c r="H13" i="3"/>
  <c r="D13" i="3"/>
  <c r="J13" i="3" l="1"/>
  <c r="I13" i="3"/>
  <c r="I12" i="3"/>
  <c r="J12" i="3"/>
  <c r="B50" i="10" l="1"/>
  <c r="C26" i="1" l="1"/>
  <c r="I14" i="3"/>
  <c r="N28" i="5"/>
  <c r="N26" i="5"/>
  <c r="F11" i="3"/>
  <c r="G11" i="3"/>
  <c r="H11" i="3"/>
  <c r="E11" i="3"/>
  <c r="D11" i="3"/>
  <c r="E8" i="3"/>
  <c r="F8" i="3"/>
  <c r="G8" i="3"/>
  <c r="H8" i="3"/>
  <c r="D8" i="3"/>
  <c r="F7" i="3"/>
  <c r="G7" i="3"/>
  <c r="H7" i="3"/>
  <c r="E7" i="3"/>
  <c r="D6" i="3"/>
  <c r="D5" i="3"/>
  <c r="I26" i="2"/>
  <c r="H26" i="2"/>
  <c r="F26" i="2"/>
  <c r="G26" i="2"/>
  <c r="E26" i="2"/>
  <c r="E25" i="2"/>
  <c r="I25" i="2"/>
  <c r="H25" i="2"/>
  <c r="F25" i="2"/>
  <c r="G25" i="2"/>
  <c r="E24" i="2"/>
  <c r="H18" i="2"/>
  <c r="J18" i="2" s="1"/>
  <c r="I18" i="2"/>
  <c r="G18" i="2"/>
  <c r="F18" i="2"/>
  <c r="E18" i="2"/>
  <c r="G13" i="2"/>
  <c r="H13" i="2"/>
  <c r="I13" i="2"/>
  <c r="F13" i="2"/>
  <c r="K13" i="2" s="1"/>
  <c r="F12" i="2"/>
  <c r="G12" i="2"/>
  <c r="H12" i="2"/>
  <c r="I12" i="2"/>
  <c r="E12" i="2"/>
  <c r="D9" i="3" s="1"/>
  <c r="H11" i="2"/>
  <c r="J11" i="2" s="1"/>
  <c r="G11" i="2"/>
  <c r="F11" i="2"/>
  <c r="E11" i="2"/>
  <c r="E10" i="2"/>
  <c r="F10" i="2"/>
  <c r="K10" i="2" s="1"/>
  <c r="G9" i="2"/>
  <c r="K9" i="2" s="1"/>
  <c r="E9" i="2"/>
  <c r="E8" i="2"/>
  <c r="F7" i="2"/>
  <c r="G7" i="2"/>
  <c r="E7" i="2"/>
  <c r="K11" i="2" l="1"/>
  <c r="K18" i="2"/>
  <c r="K7" i="2"/>
  <c r="E9" i="3"/>
  <c r="K12" i="2"/>
  <c r="J13" i="2"/>
  <c r="J12" i="2"/>
  <c r="D10" i="3"/>
  <c r="I11" i="3"/>
  <c r="E21" i="2"/>
  <c r="J28" i="5"/>
  <c r="L28" i="5" s="1"/>
  <c r="J24" i="5" l="1"/>
  <c r="E18" i="4"/>
  <c r="H29" i="4"/>
  <c r="E26" i="4"/>
  <c r="F26" i="4"/>
  <c r="G26" i="4"/>
  <c r="D26" i="4"/>
  <c r="H15" i="4"/>
  <c r="I15" i="4"/>
  <c r="D34" i="4"/>
  <c r="F33" i="2"/>
  <c r="H26" i="4" l="1"/>
  <c r="L23" i="5"/>
  <c r="L15" i="5"/>
  <c r="I19" i="3"/>
  <c r="I5" i="3"/>
  <c r="I6" i="3"/>
  <c r="J17" i="5" l="1"/>
  <c r="L17" i="5" s="1"/>
  <c r="J16" i="5"/>
  <c r="L16" i="5" s="1"/>
  <c r="I14" i="5"/>
  <c r="I13" i="5"/>
  <c r="I12" i="5"/>
  <c r="I11" i="5"/>
  <c r="B36" i="5" l="1"/>
  <c r="B37" i="3"/>
  <c r="B38" i="2"/>
  <c r="B45" i="4"/>
  <c r="N15" i="5" l="1"/>
  <c r="N16" i="5"/>
  <c r="N17" i="5"/>
  <c r="L24" i="5"/>
  <c r="D16" i="4" l="1"/>
  <c r="E16" i="4"/>
  <c r="G14" i="2" s="1"/>
  <c r="N12" i="5" l="1"/>
  <c r="N13" i="5"/>
  <c r="N14" i="5"/>
  <c r="N11" i="5"/>
  <c r="E33" i="2"/>
  <c r="J25" i="5"/>
  <c r="L25" i="5" s="1"/>
  <c r="F28" i="1"/>
  <c r="C28" i="1"/>
  <c r="N25" i="5"/>
  <c r="N24" i="5"/>
  <c r="N23" i="5"/>
  <c r="J31" i="5"/>
  <c r="N31" i="5" s="1"/>
  <c r="N30" i="5"/>
  <c r="I30" i="5"/>
  <c r="J27" i="5"/>
  <c r="N27" i="5" s="1"/>
  <c r="I22" i="5"/>
  <c r="N22" i="5" s="1"/>
  <c r="J20" i="5"/>
  <c r="N20" i="5" s="1"/>
  <c r="J19" i="5"/>
  <c r="N19" i="5" s="1"/>
  <c r="J26" i="5"/>
  <c r="L26" i="5" s="1"/>
  <c r="J9" i="5"/>
  <c r="N9" i="5" s="1"/>
  <c r="J8" i="5"/>
  <c r="N8" i="5" s="1"/>
  <c r="J7" i="5"/>
  <c r="N7" i="5" s="1"/>
  <c r="N32" i="5" l="1"/>
  <c r="F37" i="1" s="1"/>
  <c r="I29" i="4"/>
  <c r="D28" i="4"/>
  <c r="D30" i="4" s="1"/>
  <c r="D17" i="4"/>
  <c r="E17" i="4"/>
  <c r="D19" i="4"/>
  <c r="E19" i="4"/>
  <c r="D18" i="4"/>
  <c r="G16" i="4"/>
  <c r="F16" i="4"/>
  <c r="G17" i="4"/>
  <c r="F17" i="4"/>
  <c r="G18" i="4"/>
  <c r="F18" i="4"/>
  <c r="G19" i="4"/>
  <c r="F19" i="4"/>
  <c r="H14" i="2" l="1"/>
  <c r="I14" i="2"/>
  <c r="H18" i="4"/>
  <c r="H16" i="4"/>
  <c r="H17" i="4"/>
  <c r="H19" i="4"/>
  <c r="G17" i="2"/>
  <c r="F10" i="3" s="1"/>
  <c r="F17" i="2"/>
  <c r="F14" i="2"/>
  <c r="H17" i="2"/>
  <c r="I17" i="2"/>
  <c r="H10" i="3" s="1"/>
  <c r="G21" i="4"/>
  <c r="D22" i="4"/>
  <c r="G22" i="4"/>
  <c r="I18" i="4"/>
  <c r="D21" i="4"/>
  <c r="F22" i="4"/>
  <c r="F21" i="4"/>
  <c r="I17" i="4"/>
  <c r="I19" i="4"/>
  <c r="I16" i="4"/>
  <c r="E22" i="4"/>
  <c r="E21" i="4"/>
  <c r="E10" i="3" l="1"/>
  <c r="K17" i="2"/>
  <c r="K14" i="2"/>
  <c r="G10" i="3"/>
  <c r="J17" i="2"/>
  <c r="J14" i="2"/>
  <c r="H22" i="4"/>
  <c r="H21" i="4"/>
  <c r="G23" i="4"/>
  <c r="D23" i="4"/>
  <c r="D31" i="4" s="1"/>
  <c r="F23" i="4"/>
  <c r="I22" i="4"/>
  <c r="I21" i="4"/>
  <c r="E23" i="4"/>
  <c r="J10" i="3" l="1"/>
  <c r="H23" i="4"/>
  <c r="I23" i="4"/>
  <c r="J19" i="3" l="1"/>
  <c r="J5" i="3"/>
  <c r="J6" i="3"/>
  <c r="F28" i="4"/>
  <c r="G28" i="4"/>
  <c r="G30" i="4" s="1"/>
  <c r="G31" i="4" s="1"/>
  <c r="D32" i="3"/>
  <c r="E32" i="3"/>
  <c r="F32" i="3"/>
  <c r="G32" i="3"/>
  <c r="H32" i="3"/>
  <c r="D7" i="3"/>
  <c r="L8" i="5"/>
  <c r="L31" i="5"/>
  <c r="L27" i="5"/>
  <c r="H24" i="5"/>
  <c r="H25" i="5"/>
  <c r="H23" i="5"/>
  <c r="H22" i="5"/>
  <c r="L20" i="5"/>
  <c r="L19" i="5"/>
  <c r="H16" i="5"/>
  <c r="H17" i="5"/>
  <c r="I27" i="2" l="1"/>
  <c r="J11" i="3"/>
  <c r="G27" i="2"/>
  <c r="H27" i="2"/>
  <c r="F27" i="2"/>
  <c r="E27" i="2"/>
  <c r="D20" i="3"/>
  <c r="F20" i="3"/>
  <c r="E20" i="3"/>
  <c r="F30" i="4"/>
  <c r="H28" i="4"/>
  <c r="I32" i="3"/>
  <c r="I26" i="4"/>
  <c r="E28" i="4"/>
  <c r="H20" i="3"/>
  <c r="G20" i="3"/>
  <c r="I32" i="5"/>
  <c r="H15" i="5"/>
  <c r="I20" i="3" l="1"/>
  <c r="F31" i="4"/>
  <c r="H30" i="4"/>
  <c r="H31" i="4" s="1"/>
  <c r="C23" i="1" s="1"/>
  <c r="J20" i="3"/>
  <c r="E30" i="4"/>
  <c r="I28" i="4"/>
  <c r="H22" i="3"/>
  <c r="G22" i="3"/>
  <c r="F22" i="3"/>
  <c r="E22" i="3"/>
  <c r="I33" i="2"/>
  <c r="H33" i="2"/>
  <c r="G33" i="2"/>
  <c r="E34" i="4"/>
  <c r="F34" i="4"/>
  <c r="G34" i="4"/>
  <c r="I22" i="3" l="1"/>
  <c r="J22" i="3"/>
  <c r="I30" i="4"/>
  <c r="I31" i="4" s="1"/>
  <c r="E31" i="4"/>
  <c r="G37" i="4"/>
  <c r="G36" i="4"/>
  <c r="G35" i="4"/>
  <c r="G38" i="4"/>
  <c r="G40" i="4"/>
  <c r="G41" i="4"/>
  <c r="F37" i="4"/>
  <c r="F38" i="4"/>
  <c r="F36" i="4"/>
  <c r="F35" i="4"/>
  <c r="F40" i="4"/>
  <c r="F41" i="4"/>
  <c r="E38" i="4"/>
  <c r="E37" i="4"/>
  <c r="E36" i="4"/>
  <c r="E35" i="4"/>
  <c r="E41" i="4"/>
  <c r="E40" i="4"/>
  <c r="J33" i="2"/>
  <c r="E42" i="4" l="1"/>
  <c r="G42" i="4"/>
  <c r="D35" i="4"/>
  <c r="D37" i="4"/>
  <c r="D38" i="4"/>
  <c r="D36" i="4"/>
  <c r="D41" i="4"/>
  <c r="D40" i="4"/>
  <c r="F42" i="4"/>
  <c r="D42" i="4" l="1"/>
  <c r="H42" i="4" s="1"/>
  <c r="F23" i="1" s="1"/>
  <c r="C32" i="1"/>
  <c r="F30" i="1" l="1"/>
  <c r="F32" i="1"/>
  <c r="E15" i="3"/>
  <c r="E24" i="3" s="1"/>
  <c r="I10" i="3" l="1"/>
  <c r="D15" i="3"/>
  <c r="E29" i="2"/>
  <c r="F21" i="2"/>
  <c r="I7" i="3"/>
  <c r="I8" i="3"/>
  <c r="J8" i="3"/>
  <c r="J7" i="3"/>
  <c r="E34" i="2" l="1"/>
  <c r="E33" i="3" l="1"/>
  <c r="L7" i="5" l="1"/>
  <c r="L9" i="5" l="1"/>
  <c r="J32" i="5"/>
  <c r="C36" i="1" l="1"/>
  <c r="L32" i="5"/>
  <c r="L33" i="5" s="1"/>
  <c r="C37" i="1"/>
  <c r="F29" i="2" l="1"/>
  <c r="F34" i="2" l="1"/>
  <c r="K27" i="2"/>
  <c r="J27" i="2"/>
  <c r="H16" i="2"/>
  <c r="G16" i="2"/>
  <c r="I16" i="2"/>
  <c r="I15" i="2"/>
  <c r="F9" i="3" l="1"/>
  <c r="F15" i="3" s="1"/>
  <c r="F24" i="3" s="1"/>
  <c r="K16" i="2"/>
  <c r="G9" i="3"/>
  <c r="G15" i="3" s="1"/>
  <c r="G24" i="3" s="1"/>
  <c r="J16" i="2"/>
  <c r="I21" i="2"/>
  <c r="I29" i="2" s="1"/>
  <c r="H9" i="3"/>
  <c r="H15" i="3" s="1"/>
  <c r="H24" i="3" s="1"/>
  <c r="G15" i="2"/>
  <c r="H15" i="2"/>
  <c r="G21" i="2" l="1"/>
  <c r="G29" i="2" s="1"/>
  <c r="K15" i="2"/>
  <c r="H21" i="2"/>
  <c r="J21" i="2" s="1"/>
  <c r="J29" i="2" s="1"/>
  <c r="J15" i="2"/>
  <c r="I9" i="3"/>
  <c r="I15" i="3" s="1"/>
  <c r="I24" i="3" s="1"/>
  <c r="C24" i="1" s="1"/>
  <c r="C25" i="1" s="1"/>
  <c r="J9" i="3"/>
  <c r="J15" i="3" s="1"/>
  <c r="J24" i="3" s="1"/>
  <c r="F33" i="3"/>
  <c r="I34" i="2"/>
  <c r="H33" i="3"/>
  <c r="G33" i="3"/>
  <c r="C43" i="1" l="1"/>
  <c r="C33" i="1"/>
  <c r="H29" i="2"/>
  <c r="K21" i="2"/>
  <c r="K29" i="2" s="1"/>
  <c r="H34" i="2"/>
  <c r="G34" i="2"/>
  <c r="D19" i="3"/>
  <c r="D22" i="3" s="1"/>
  <c r="D24" i="3" s="1"/>
  <c r="C15" i="1" s="1"/>
  <c r="C29" i="1" s="1"/>
  <c r="C16" i="1" l="1"/>
  <c r="J34" i="2"/>
  <c r="F43" i="1" s="1"/>
  <c r="D33" i="3"/>
  <c r="I33" i="3" s="1"/>
  <c r="F24" i="1" s="1"/>
  <c r="F25" i="1" s="1"/>
  <c r="F31" i="1" s="1"/>
  <c r="F33" i="1" l="1"/>
  <c r="F34" i="1" s="1"/>
  <c r="F41" i="1"/>
  <c r="F42" i="1"/>
  <c r="C28" i="3"/>
  <c r="C27" i="1" s="1"/>
  <c r="C41" i="1"/>
  <c r="C42" i="1"/>
  <c r="F38" i="1" l="1"/>
  <c r="F45" i="1"/>
  <c r="F46" i="1"/>
  <c r="C31" i="1"/>
  <c r="C34" i="1" l="1"/>
  <c r="C44" i="1" s="1"/>
  <c r="C46" i="1" l="1"/>
  <c r="C45" i="1"/>
  <c r="C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B25" authorId="0" shapeId="0" xr:uid="{96BF4FA7-C27F-484C-9DAA-46C9D74F558F}">
      <text>
        <r>
          <rPr>
            <sz val="9"/>
            <color indexed="81"/>
            <rFont val="Segoe UI"/>
            <family val="2"/>
          </rPr>
          <t>Hinweis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D9" authorId="0" shapeId="0" xr:uid="{090242EB-E2CA-4148-BC5F-314178D21B2B}">
      <text>
        <r>
          <rPr>
            <sz val="9"/>
            <color indexed="81"/>
            <rFont val="Segoe UI"/>
            <family val="2"/>
          </rPr>
          <t>Abkürzungen siehe Tabellenblatt "Hinweise"</t>
        </r>
      </text>
    </comment>
    <comment ref="B10" authorId="0" shapeId="0" xr:uid="{4E129117-31C3-4FF1-B08F-29E5F0F46899}">
      <text>
        <r>
          <rPr>
            <sz val="9"/>
            <color indexed="81"/>
            <rFont val="Segoe UI"/>
            <family val="2"/>
          </rPr>
          <t>Stundenlohn Angestellte inkl. Sozialabgaben</t>
        </r>
      </text>
    </comment>
    <comment ref="B12" authorId="0" shapeId="0" xr:uid="{BBFF4956-D95B-48AE-B0B6-3E9EB2729507}">
      <text>
        <r>
          <rPr>
            <sz val="9"/>
            <color indexed="81"/>
            <rFont val="Segoe UI"/>
            <family val="2"/>
          </rPr>
          <t xml:space="preserve">Jährliche Kosten für Aufgaben, die an externe Dienstleister vergeben werden (z.B. Baumschnitt, Transport, Unterwuchspflege,…)
Die entsprechenden Arbeiten/Kosten dürfen dann in den Blättern "Arbeitszeit" und "Kosten" nicht nochmals angesetzt werden.
</t>
        </r>
      </text>
    </comment>
    <comment ref="B14" authorId="0" shapeId="0" xr:uid="{1E879FE7-46E1-4FE3-9B35-D9806491FCF5}">
      <text>
        <r>
          <rPr>
            <sz val="9"/>
            <color indexed="81"/>
            <rFont val="Segoe UI"/>
            <charset val="1"/>
          </rPr>
          <t xml:space="preserve">Investiertes Kapital = Kosten &amp; Arbeitszeit der ersten 10 Jahre (C15) + Gebäudeinvestitionen (C17) 
</t>
        </r>
      </text>
    </comment>
    <comment ref="B15" authorId="0" shapeId="0" xr:uid="{8530BB6E-0294-4A9A-8962-FE0ECD8F0130}">
      <text>
        <r>
          <rPr>
            <sz val="9"/>
            <color indexed="81"/>
            <rFont val="Segoe UI"/>
            <family val="2"/>
          </rPr>
          <t>Bestandswert/Investitionen in den Aufbau der Streuobstanlage, ohne Förderung, ohne Pacht, Akh nach Stundenlohn Familie</t>
        </r>
        <r>
          <rPr>
            <b/>
            <sz val="9"/>
            <color indexed="81"/>
            <rFont val="Segoe UI"/>
            <family val="2"/>
          </rPr>
          <t xml:space="preserve">
</t>
        </r>
        <r>
          <rPr>
            <sz val="9"/>
            <color indexed="81"/>
            <rFont val="Segoe UI"/>
            <family val="2"/>
          </rPr>
          <t xml:space="preserve">
</t>
        </r>
      </text>
    </comment>
    <comment ref="B16" authorId="0" shapeId="0" xr:uid="{4994A4D0-55E3-48CA-82BA-2A9A0D5AAF48}">
      <text>
        <r>
          <rPr>
            <sz val="9"/>
            <color indexed="81"/>
            <rFont val="Segoe UI"/>
            <family val="2"/>
          </rPr>
          <t xml:space="preserve">Investitionen in den Aufbau der Streuobstanlage, ohne Förderung, ohne Pacht, nur Material- und Maschinenkosten
</t>
        </r>
      </text>
    </comment>
    <comment ref="B17" authorId="0" shapeId="0" xr:uid="{23193A8C-CBCA-4BEC-8066-012E5CDA92A5}">
      <text>
        <r>
          <rPr>
            <sz val="9"/>
            <color indexed="81"/>
            <rFont val="Segoe UI"/>
            <family val="2"/>
          </rPr>
          <t xml:space="preserve">Nur angeben, wenn noch nicht abgeschrieben. </t>
        </r>
      </text>
    </comment>
    <comment ref="C22" authorId="0" shapeId="0" xr:uid="{D3562E00-40CA-4BC4-B6CF-32C1DB6D5DD5}">
      <text>
        <r>
          <rPr>
            <sz val="9"/>
            <color indexed="81"/>
            <rFont val="Segoe UI"/>
            <family val="2"/>
          </rPr>
          <t>Der Deckungsbeitrag wird für 50 Standjahre berechnet und als Durchschnitt der Ertragsphase vom 11.-50. Standjahr angegeben. Der Aufbau des Streuobstbestandes (erste 10 Jahre) wird durch AfA Bestand berücksichtigt.</t>
        </r>
      </text>
    </comment>
    <comment ref="F22" authorId="0" shapeId="0" xr:uid="{82FD40B6-F136-423F-B61E-E52EC2485014}">
      <text>
        <r>
          <rPr>
            <sz val="9"/>
            <color indexed="81"/>
            <rFont val="Segoe UI"/>
            <family val="2"/>
          </rPr>
          <t xml:space="preserve">Der Deckungsbeitrag Momentaufnahme beruht auf den Angaben zur Alterstruktur. Es wird stets das aktuelle Jahr abgebildet, Anlagenaufbau und Abschreibung werden hier nicht berücksichtigt. 
</t>
        </r>
      </text>
    </comment>
    <comment ref="F27" authorId="0" shapeId="0" xr:uid="{F74EC31B-15E4-4311-9FA9-AEB902E101C4}">
      <text>
        <r>
          <rPr>
            <sz val="9"/>
            <color indexed="81"/>
            <rFont val="Segoe UI"/>
            <family val="2"/>
          </rPr>
          <t xml:space="preserve">In der Momentaufnahme wird der Aufbau eines Bestandswertes nicht berücksichtigt (also keine Abschreibung und keine Zinsen) 
</t>
        </r>
      </text>
    </comment>
    <comment ref="B36" authorId="0" shapeId="0" xr:uid="{50587FE5-1B7B-4A73-BC20-F985F11CEB93}">
      <text>
        <r>
          <rPr>
            <sz val="9"/>
            <color indexed="81"/>
            <rFont val="Segoe UI"/>
            <family val="2"/>
          </rPr>
          <t xml:space="preserve">Die in den ersten 10 Jahren erhaltenen Fördergelder werden (wie AfA Bestand) auf 40 Jahre verteilt
</t>
        </r>
      </text>
    </comment>
    <comment ref="F36" authorId="0" shapeId="0" xr:uid="{67E64DBA-FA19-42E0-8634-08C6A57CF159}">
      <text>
        <r>
          <rPr>
            <sz val="9"/>
            <color indexed="81"/>
            <rFont val="Segoe UI"/>
            <family val="2"/>
          </rPr>
          <t xml:space="preserve">Keine Verrechnung von Fördergeldern aus vorherigen Jahren 
</t>
        </r>
      </text>
    </comment>
    <comment ref="B41" authorId="0" shapeId="0" xr:uid="{D2C7E48C-8D5D-4AD1-81DE-4B465D9C1B21}">
      <text>
        <r>
          <rPr>
            <sz val="9"/>
            <color indexed="81"/>
            <rFont val="Segoe UI"/>
            <charset val="1"/>
          </rPr>
          <t xml:space="preserve">Einkommensbeitrag ohne Kosten für Familien-Akh. Da auch AfA Bestand und der Zinsaufwand ohne Familien-Akh gerechnet werden, unterscheidet sich der hier berechnete Wert vom oben angegebenen Stundenlohn Familie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B11" authorId="0" shapeId="0" xr:uid="{96BE98BA-A354-4CCE-98C9-581202064290}">
      <text>
        <r>
          <rPr>
            <sz val="9"/>
            <color indexed="81"/>
            <rFont val="Segoe UI"/>
            <family val="2"/>
          </rPr>
          <t>Tafelobst ist mit erhöhtem Lagerungs- und Vermarktungsaufwand verbunden. Diese Kosten sind in der Deckungsbeitragsrechnung nicht berücksichtigt.</t>
        </r>
      </text>
    </comment>
    <comment ref="B29" authorId="0" shapeId="0" xr:uid="{F7F9B98C-1FBC-4FF0-979C-DD07F6FFD8FA}">
      <text>
        <r>
          <rPr>
            <sz val="9"/>
            <color indexed="81"/>
            <rFont val="Segoe UI"/>
            <family val="2"/>
          </rPr>
          <t>Sonstige Erträge der Fläche z.B. Schnittgut, Unterkultur,…
oder Gewinne aus anderer Unternutzung z.B. Tierhaltung, Gemüsebau</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D7" authorId="0" shapeId="0" xr:uid="{A958CD61-F838-4A40-B5BD-D87CB8C7A587}">
      <text>
        <r>
          <rPr>
            <sz val="9"/>
            <color indexed="81"/>
            <rFont val="Segoe UI"/>
            <family val="2"/>
          </rPr>
          <t>Vorgabe: 0,04 Akh/Baum</t>
        </r>
      </text>
    </comment>
    <comment ref="D8" authorId="0" shapeId="0" xr:uid="{54F4711E-F804-44C1-BCF8-836805595DA9}">
      <text>
        <r>
          <rPr>
            <sz val="9"/>
            <color indexed="81"/>
            <rFont val="Segoe UI"/>
            <family val="2"/>
          </rPr>
          <t>Vorgabe: 0,8 Akh/Baum</t>
        </r>
      </text>
    </comment>
    <comment ref="D9" authorId="0" shapeId="0" xr:uid="{3B4AA996-1BF8-4EEA-983D-79EDAD30442B}">
      <text>
        <r>
          <rPr>
            <sz val="9"/>
            <color indexed="81"/>
            <rFont val="Segoe UI"/>
            <family val="2"/>
          </rPr>
          <t>Vorgabe: 0,025 Akh/Baum</t>
        </r>
      </text>
    </comment>
    <comment ref="D10" authorId="0" shapeId="0" xr:uid="{3E83538B-A3E2-4D49-87ED-86C3006DD428}">
      <text>
        <r>
          <rPr>
            <sz val="9"/>
            <color indexed="81"/>
            <rFont val="Segoe UI"/>
            <family val="2"/>
          </rPr>
          <t>Vorgabe: 0,1 Akh/Baum</t>
        </r>
      </text>
    </comment>
    <comment ref="D11" authorId="0" shapeId="0" xr:uid="{F0DB02B2-2FD8-4559-9999-E3538478DE3B}">
      <text>
        <r>
          <rPr>
            <sz val="9"/>
            <color indexed="81"/>
            <rFont val="Segoe UI"/>
            <family val="2"/>
          </rPr>
          <t>Vorgabe: 0,7 Akh/Baum</t>
        </r>
      </text>
    </comment>
    <comment ref="D12" authorId="0" shapeId="0" xr:uid="{443DAB14-315A-4342-A67B-3B2FA255E5F6}">
      <text>
        <r>
          <rPr>
            <sz val="9"/>
            <color indexed="81"/>
            <rFont val="Segoe UI"/>
            <family val="2"/>
          </rPr>
          <t>Vorgabe: 0,05 Akh/Baum</t>
        </r>
      </text>
    </comment>
    <comment ref="C13" authorId="0" shapeId="0" xr:uid="{C984F49E-0BAB-440A-B493-5A8A3034A574}">
      <text>
        <r>
          <rPr>
            <sz val="9"/>
            <color indexed="81"/>
            <rFont val="Segoe UI"/>
            <charset val="1"/>
          </rPr>
          <t xml:space="preserve">Pilzinfektionen, Insekten, Wühlmäuse,...
</t>
        </r>
      </text>
    </comment>
    <comment ref="D13" authorId="0" shapeId="0" xr:uid="{C20C96D8-60B7-42B4-8CA1-ADE25DAE9912}">
      <text>
        <r>
          <rPr>
            <sz val="9"/>
            <color indexed="81"/>
            <rFont val="Segoe UI"/>
            <family val="2"/>
          </rPr>
          <t>Vorgabe: 0,3 Akh/Baum</t>
        </r>
      </text>
    </comment>
    <comment ref="D14" authorId="0" shapeId="0" xr:uid="{26908B54-042B-4F20-B65B-EE88B6D821C4}">
      <text>
        <r>
          <rPr>
            <sz val="9"/>
            <color indexed="81"/>
            <rFont val="Segoe UI"/>
            <family val="2"/>
          </rPr>
          <t>Vorgabe: 1,5 Akh/dt</t>
        </r>
      </text>
    </comment>
    <comment ref="D15" authorId="0" shapeId="0" xr:uid="{11763C40-5717-49BF-A162-C7642FAAEADE}">
      <text>
        <r>
          <rPr>
            <sz val="9"/>
            <color indexed="81"/>
            <rFont val="Segoe UI"/>
            <family val="2"/>
          </rPr>
          <t>Vorgabe: 0,7 Akh/dt</t>
        </r>
      </text>
    </comment>
    <comment ref="D16" authorId="0" shapeId="0" xr:uid="{DF3D75FD-7279-4DA6-B221-8E70670484E8}">
      <text>
        <r>
          <rPr>
            <sz val="9"/>
            <color indexed="81"/>
            <rFont val="Segoe UI"/>
            <family val="2"/>
          </rPr>
          <t>Vorgabe: 0,2 Akh/dt</t>
        </r>
      </text>
    </comment>
    <comment ref="D17" authorId="0" shapeId="0" xr:uid="{DED7A3E4-FA16-45DC-A10F-FBB002D2B235}">
      <text>
        <r>
          <rPr>
            <sz val="9"/>
            <color indexed="81"/>
            <rFont val="Segoe UI"/>
            <family val="2"/>
          </rPr>
          <t>Vorgabe: 0,1 Akh/dt</t>
        </r>
      </text>
    </comment>
    <comment ref="D18" authorId="0" shapeId="0" xr:uid="{117FBDB2-B219-4C87-88E2-3523F00DB7D3}">
      <text>
        <r>
          <rPr>
            <sz val="9"/>
            <color indexed="81"/>
            <rFont val="Segoe UI"/>
            <family val="2"/>
          </rPr>
          <t>Vorgabe: 4 Akh/ha</t>
        </r>
      </text>
    </comment>
    <comment ref="D19" authorId="0" shapeId="0" xr:uid="{0E71C83C-BB3E-4FCE-AF04-44C91000E8BE}">
      <text>
        <r>
          <rPr>
            <sz val="9"/>
            <color indexed="81"/>
            <rFont val="Segoe UI"/>
            <family val="2"/>
          </rPr>
          <t>Vorgabe: 5 Akh</t>
        </r>
      </text>
    </comment>
    <comment ref="D24" authorId="0" shapeId="0" xr:uid="{112E93D0-E4CD-48B8-8B2C-0CFA18430F2B}">
      <text>
        <r>
          <rPr>
            <sz val="9"/>
            <color indexed="81"/>
            <rFont val="Segoe UI"/>
            <family val="2"/>
          </rPr>
          <t>Vorgabe: 5 Akh/ha</t>
        </r>
        <r>
          <rPr>
            <sz val="9"/>
            <color indexed="81"/>
            <rFont val="Segoe UI"/>
            <charset val="1"/>
          </rPr>
          <t xml:space="preserve">
</t>
        </r>
      </text>
    </comment>
    <comment ref="D25" authorId="0" shapeId="0" xr:uid="{25BFE7C7-D2E0-4589-B16C-2DE5AE324A7C}">
      <text>
        <r>
          <rPr>
            <sz val="9"/>
            <color indexed="81"/>
            <rFont val="Segoe UI"/>
            <family val="2"/>
          </rPr>
          <t>Vorgabe: 3 Akh/ha</t>
        </r>
      </text>
    </comment>
    <comment ref="D26" authorId="0" shapeId="0" xr:uid="{3E496ED4-2004-4951-908D-5F0D3A276864}">
      <text>
        <r>
          <rPr>
            <sz val="9"/>
            <color indexed="81"/>
            <rFont val="Segoe UI"/>
            <family val="2"/>
          </rPr>
          <t>Vorgabe: 10 Akh/ha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B5" authorId="0" shapeId="0" xr:uid="{A56911AA-42D0-4B51-A6D3-61D98980C0BA}">
      <text>
        <r>
          <rPr>
            <sz val="9"/>
            <color indexed="81"/>
            <rFont val="Segoe UI"/>
            <family val="2"/>
          </rPr>
          <t>Wenn das Pflanzgut gefördert und nicht selbst bei der Baumschule beschafft wird, hier den geförderten Betrag eingeben.</t>
        </r>
      </text>
    </comment>
    <comment ref="C5" authorId="0" shapeId="0" xr:uid="{FF856C8A-D0FA-43B8-8E34-7B909BB44749}">
      <text>
        <r>
          <rPr>
            <sz val="9"/>
            <color indexed="81"/>
            <rFont val="Segoe UI"/>
            <family val="2"/>
          </rPr>
          <t>Vorgabe: 45 €/Baum</t>
        </r>
      </text>
    </comment>
    <comment ref="C6" authorId="0" shapeId="0" xr:uid="{01D7C137-84A0-4D47-AF1D-799A218DA36B}">
      <text>
        <r>
          <rPr>
            <sz val="9"/>
            <color indexed="81"/>
            <rFont val="Segoe UI"/>
            <family val="2"/>
          </rPr>
          <t>Vorgabe: 13 €/Baum</t>
        </r>
      </text>
    </comment>
    <comment ref="C7" authorId="0" shapeId="0" xr:uid="{D65F8067-E98B-4FA3-A534-A6AC85A32218}">
      <text>
        <r>
          <rPr>
            <sz val="9"/>
            <color indexed="81"/>
            <rFont val="Segoe UI"/>
            <family val="2"/>
          </rPr>
          <t xml:space="preserve">Vorgabe: 0,5 €/Baum
</t>
        </r>
      </text>
    </comment>
    <comment ref="C8" authorId="0" shapeId="0" xr:uid="{E1C25DB4-FBCB-4E65-9038-82883D284378}">
      <text>
        <r>
          <rPr>
            <sz val="9"/>
            <color indexed="81"/>
            <rFont val="Segoe UI"/>
            <family val="2"/>
          </rPr>
          <t>Vorgabe: 0,5 €/Baum</t>
        </r>
      </text>
    </comment>
    <comment ref="B9" authorId="0" shapeId="0" xr:uid="{54CD5ABB-2D84-4184-BFAD-1CACAC26FBCB}">
      <text>
        <r>
          <rPr>
            <sz val="9"/>
            <color indexed="81"/>
            <rFont val="Segoe UI"/>
            <family val="2"/>
          </rPr>
          <t xml:space="preserve">Ernte, Düngung
</t>
        </r>
      </text>
    </comment>
    <comment ref="C9" authorId="0" shapeId="0" xr:uid="{9946D972-07D2-477D-B263-9CFC0ABCE340}">
      <text>
        <r>
          <rPr>
            <sz val="9"/>
            <color indexed="81"/>
            <rFont val="Segoe UI"/>
            <family val="2"/>
          </rPr>
          <t>Vorgabe: 10 €/h für die Arbeiten mit Einsatz von Kleingeräten</t>
        </r>
      </text>
    </comment>
    <comment ref="B10" authorId="0" shapeId="0" xr:uid="{63221216-62E6-4D5E-A942-03942F5B5390}">
      <text>
        <r>
          <rPr>
            <sz val="9"/>
            <color indexed="81"/>
            <rFont val="Segoe UI"/>
            <family val="2"/>
          </rPr>
          <t>Baumstreifenpflege, Transport</t>
        </r>
      </text>
    </comment>
    <comment ref="C10" authorId="0" shapeId="0" xr:uid="{1F21A44F-0516-4A1C-8751-1058D22FB44D}">
      <text>
        <r>
          <rPr>
            <sz val="9"/>
            <color indexed="81"/>
            <rFont val="Segoe UI"/>
            <family val="2"/>
          </rPr>
          <t>Vorgabe: 40 €/h für die Arbeiten mit Einsatz von Großgeräten</t>
        </r>
      </text>
    </comment>
    <comment ref="C11" authorId="0" shapeId="0" xr:uid="{60504482-DCF4-417B-B286-E73E6637CA1C}">
      <text>
        <r>
          <rPr>
            <sz val="9"/>
            <color indexed="81"/>
            <rFont val="Segoe UI"/>
            <family val="2"/>
          </rPr>
          <t>Vorgabe: 20 €/ha</t>
        </r>
      </text>
    </comment>
    <comment ref="C19" authorId="0" shapeId="0" xr:uid="{E53B59B2-99F7-49BD-860F-843D4F953D83}">
      <text>
        <r>
          <rPr>
            <sz val="9"/>
            <color indexed="81"/>
            <rFont val="Segoe UI"/>
            <family val="2"/>
          </rPr>
          <t>Vorgabe: 420 €/ha</t>
        </r>
      </text>
    </comment>
    <comment ref="C20" authorId="0" shapeId="0" xr:uid="{02D5346B-F143-4FA4-8700-B61CEDF145BD}">
      <text>
        <r>
          <rPr>
            <sz val="9"/>
            <color indexed="81"/>
            <rFont val="Segoe UI"/>
            <family val="2"/>
          </rPr>
          <t>Vorgabe: 50 €/h für die Arbeiten mit Einsatz von Schlepper und Arbeitsgerät</t>
        </r>
        <r>
          <rPr>
            <sz val="9"/>
            <color indexed="81"/>
            <rFont val="Segoe UI"/>
            <charset val="1"/>
          </rPr>
          <t xml:space="preserve">
</t>
        </r>
      </text>
    </comment>
    <comment ref="B27" authorId="0" shapeId="0" xr:uid="{EEF419EF-AF77-4D20-A8CA-B129BDA57CE0}">
      <text>
        <r>
          <rPr>
            <sz val="9"/>
            <color indexed="81"/>
            <rFont val="Segoe UI"/>
            <family val="2"/>
          </rPr>
          <t xml:space="preserve">Hier wird durch 40 Jahre geteilt und nicht der in Übersicht C18 angegeben Wert verwendet, da das Ergebnis der DB den Schnitt über die Ertragsphase abbildet.
Die in Übersicht C18 angegebene Abschreibungsdauer wird für die Berechnung der (kalkulatorischen) Zinsen verwendet.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Schmelzle, Clarissa (LfL)</author>
  </authors>
  <commentList>
    <comment ref="E4" authorId="0" shapeId="0" xr:uid="{12A30E50-1F30-4AE1-B54D-686CAD098D78}">
      <text>
        <r>
          <rPr>
            <sz val="9"/>
            <color indexed="81"/>
            <rFont val="Segoe UI"/>
            <family val="2"/>
          </rPr>
          <t>Förderwegweiser StMELF: https://www.stmelf.bayern.de/foerderung/foerderung-von-agrarumweltmassnahmen-in-bayern/index.html
Förderübersicht LfL:
https://www.lfl.bayern.de/iab/kulturlandschaft/030830/index.php</t>
        </r>
      </text>
    </comment>
    <comment ref="C7" authorId="0" shapeId="0" xr:uid="{8D60569B-AB51-4D75-B06E-A316122F8D54}">
      <text>
        <r>
          <rPr>
            <sz val="9"/>
            <color indexed="81"/>
            <rFont val="Segoe UI"/>
            <family val="2"/>
          </rPr>
          <t>Bei Bedarf Fördersatz anpassen. GAP-Rechner der LfL: https://www.lfl.bayern.de/mam/cms07/iba/dateien/gap_rechner_lfl_bayern.xlsx</t>
        </r>
      </text>
    </comment>
    <comment ref="C8" authorId="0" shapeId="0" xr:uid="{8006A250-CFDC-42B5-99C4-D3A7C3C70194}">
      <text>
        <r>
          <rPr>
            <sz val="9"/>
            <color indexed="81"/>
            <rFont val="Segoe UI"/>
            <family val="2"/>
          </rPr>
          <t>Bei Bedarf Fördersatz anpassen. GAP-Rechner der LfL: https://www.lfl.bayern.de/mam/cms07/iba/dateien/gap_rechner_lfl_bayern.xlsx</t>
        </r>
      </text>
    </comment>
    <comment ref="C9" authorId="0" shapeId="0" xr:uid="{E58363E9-2E47-448F-871A-E18E9C897E42}">
      <text>
        <r>
          <rPr>
            <sz val="9"/>
            <color indexed="81"/>
            <rFont val="Segoe UI"/>
            <family val="2"/>
          </rPr>
          <t xml:space="preserve">Je nach in Anspruch genommener ÖR-Maßnahmen anpassen.  GAP-Rechner der LfL: https://www.lfl.bayern.de/mam/cms07/iba/dateien/gap_rechner_lfl_bayern.xlsx
</t>
        </r>
      </text>
    </comment>
    <comment ref="I11" authorId="0" shapeId="0" xr:uid="{330304C7-EC0B-4D89-A7C0-6DC412054364}">
      <text>
        <r>
          <rPr>
            <sz val="9"/>
            <color indexed="81"/>
            <rFont val="Segoe UI"/>
            <family val="2"/>
          </rPr>
          <t xml:space="preserve">Förderfähig sind 90 % der in Spalte E aufgeführten Pauschale
</t>
        </r>
      </text>
    </comment>
    <comment ref="I12" authorId="0" shapeId="0" xr:uid="{EE24455E-C196-4D01-A39D-88580182D13D}">
      <text>
        <r>
          <rPr>
            <sz val="9"/>
            <color indexed="81"/>
            <rFont val="Segoe UI"/>
            <family val="2"/>
          </rPr>
          <t>Förderfähig sind 90 % der in Spalte E aufgeführten Pauschale</t>
        </r>
      </text>
    </comment>
    <comment ref="I13" authorId="0" shapeId="0" xr:uid="{43552992-D487-4FB3-A7EB-7123B5EAEE43}">
      <text>
        <r>
          <rPr>
            <sz val="9"/>
            <color indexed="81"/>
            <rFont val="Segoe UI"/>
            <family val="2"/>
          </rPr>
          <t>Förderfähig sind 90 % der in Spalte E aufgeführten Pauschale</t>
        </r>
      </text>
    </comment>
    <comment ref="I14" authorId="0" shapeId="0" xr:uid="{345B39AB-D055-4DB8-B699-3DFA58C06504}">
      <text>
        <r>
          <rPr>
            <sz val="9"/>
            <color indexed="81"/>
            <rFont val="Segoe UI"/>
            <family val="2"/>
          </rPr>
          <t xml:space="preserve">Förderfähig sind 90 % der in Spalte E aufgeführten Pauschale
</t>
        </r>
      </text>
    </comment>
    <comment ref="D15" authorId="0" shapeId="0" xr:uid="{3675C624-1182-4D0E-9BDA-0F74A85D2449}">
      <text>
        <r>
          <rPr>
            <sz val="9"/>
            <color indexed="81"/>
            <rFont val="Segoe UI"/>
            <family val="2"/>
          </rPr>
          <t xml:space="preserve">Alle 3 Pflegeklassen auswählen und die durchschnittliche Verteilung der Pflegeklassen eingeben. </t>
        </r>
      </text>
    </comment>
    <comment ref="J15" authorId="0" shapeId="0" xr:uid="{0D406A25-4925-4938-822D-A7CF5AD95671}">
      <text>
        <r>
          <rPr>
            <sz val="9"/>
            <color indexed="81"/>
            <rFont val="Segoe UI"/>
            <family val="2"/>
          </rPr>
          <t>Förderfähig sind 90 % der in Spalte E aufgeführten Pauschale</t>
        </r>
      </text>
    </comment>
    <comment ref="J16" authorId="0" shapeId="0" xr:uid="{73310B21-93F5-4E0E-BDD9-6B28B874D1A2}">
      <text>
        <r>
          <rPr>
            <sz val="9"/>
            <color indexed="81"/>
            <rFont val="Segoe UI"/>
            <family val="2"/>
          </rPr>
          <t xml:space="preserve">Förderfähig sind 90 % der in Spalte E aufgeführten Pauschale
</t>
        </r>
      </text>
    </comment>
    <comment ref="J17" authorId="0" shapeId="0" xr:uid="{BDBC0F6A-14D9-40BA-9970-F454F2464523}">
      <text>
        <r>
          <rPr>
            <sz val="9"/>
            <color indexed="81"/>
            <rFont val="Segoe UI"/>
            <family val="2"/>
          </rPr>
          <t>Förderfähig sind 90 % der in Spalte E aufgeführten Pauschale</t>
        </r>
      </text>
    </comment>
    <comment ref="B20" authorId="0" shapeId="0" xr:uid="{65FB8ABE-6FA3-4630-AA23-1FED501BDA99}">
      <text>
        <r>
          <rPr>
            <sz val="9"/>
            <color indexed="81"/>
            <rFont val="Segoe UI"/>
            <family val="2"/>
          </rPr>
          <t>z.B. Schnittzeitpunkt, Beweidung,...</t>
        </r>
        <r>
          <rPr>
            <sz val="9"/>
            <color indexed="81"/>
            <rFont val="Segoe UI"/>
            <family val="2"/>
          </rPr>
          <t xml:space="preserve">
</t>
        </r>
      </text>
    </comment>
    <comment ref="B23" authorId="0" shapeId="0" xr:uid="{3A23E2C4-0B8F-4557-8AEB-FB430F6E5AE4}">
      <text>
        <r>
          <rPr>
            <sz val="9"/>
            <color indexed="81"/>
            <rFont val="Segoe UI"/>
            <family val="2"/>
          </rPr>
          <t xml:space="preserve">Alle 3 Kategorien I82 auswählen. Dann werden die Fördersummen über die Standdauer von 50 Jahren verteilt.
Um I82 in Anspruch zu nehmen, ist eine Rechnung erforderlich. Daher muss im Blatt "Arbeitszeit" die Schnittzeit (D11) auf 0 gesetzt werden und im Blatt "Übersicht" der Aufwand für Lohnarbeit/Dienstleistung (C12) eingetragen werden.
</t>
        </r>
      </text>
    </comment>
    <comment ref="B24" authorId="0" shapeId="0" xr:uid="{E547F093-9CF2-413D-A807-55852B697227}">
      <text>
        <r>
          <rPr>
            <sz val="9"/>
            <color indexed="81"/>
            <rFont val="Segoe UI"/>
            <family val="2"/>
          </rPr>
          <t xml:space="preserve">Alle 3 Kategorien I82 auswählen. Dann werden die Fördersummen über die Standdauer von 50 Jahren verteilt.
Um I82 in Anspruch zu nehmen, ist eine Rechnung erforderlich. Daher muss im Blatt "Arbeitszeit" die Schnittzeit (D11) auf 0 gesetzt werden und im Blatt "Übersicht" der Aufwand für Lohnarbeit/Dienstleistung (C12) eingetragen werden.
</t>
        </r>
      </text>
    </comment>
    <comment ref="B25" authorId="0" shapeId="0" xr:uid="{F0FFE5EB-FEA3-4367-9110-4A2248FA1FF5}">
      <text>
        <r>
          <rPr>
            <sz val="9"/>
            <color indexed="81"/>
            <rFont val="Segoe UI"/>
            <family val="2"/>
          </rPr>
          <t xml:space="preserve">Alle 3 Kategorien I82 auswählen. Dann werden die Fördersummen über die Standdauer von 50 Jahren verteilt.
Um I82 in Anspruch zu nehmen, ist eine Rechnung erforderlich. Daher muss im Blatt "Arbeitszeit" die Schnittzeit (D11) auf 0 gesetzt werden und im Blatt "Übersicht" der Aufwand für Lohnarbeit/Dienstleistung (C12) eingetragen werden.
</t>
        </r>
      </text>
    </comment>
    <comment ref="B27" authorId="0" shapeId="0" xr:uid="{AB17BAE1-79F2-4482-ABE5-A66E5A549182}">
      <text>
        <r>
          <rPr>
            <sz val="9"/>
            <color indexed="81"/>
            <rFont val="Segoe UI"/>
            <family val="2"/>
          </rPr>
          <t>z.B. Schnittzeitpunkt der Wiese</t>
        </r>
      </text>
    </comment>
  </commentList>
</comments>
</file>

<file path=xl/sharedStrings.xml><?xml version="1.0" encoding="utf-8"?>
<sst xmlns="http://schemas.openxmlformats.org/spreadsheetml/2006/main" count="352" uniqueCount="253">
  <si>
    <t>Bodenprobe</t>
  </si>
  <si>
    <t>+ Förderung</t>
  </si>
  <si>
    <t>- Löhne und Sozialversicherung</t>
  </si>
  <si>
    <t>- Pachtaufwand</t>
  </si>
  <si>
    <t>ha</t>
  </si>
  <si>
    <t>%</t>
  </si>
  <si>
    <t>€/Akh</t>
  </si>
  <si>
    <t>€</t>
  </si>
  <si>
    <t>Ertrag</t>
  </si>
  <si>
    <t>dt</t>
  </si>
  <si>
    <t>Preise</t>
  </si>
  <si>
    <t>6.-10. Jahr</t>
  </si>
  <si>
    <t>11.-20. Jahr</t>
  </si>
  <si>
    <t>21.-50. Jahr</t>
  </si>
  <si>
    <t>kg/Baum</t>
  </si>
  <si>
    <t>Gesamtfläche</t>
  </si>
  <si>
    <t>Bäume</t>
  </si>
  <si>
    <t>Bäume/ha</t>
  </si>
  <si>
    <t>Stk/ha</t>
  </si>
  <si>
    <t>Stk</t>
  </si>
  <si>
    <t>1.-5. Jahr</t>
  </si>
  <si>
    <t>Bewässern</t>
  </si>
  <si>
    <t>Düngung</t>
  </si>
  <si>
    <t>Sonstiges</t>
  </si>
  <si>
    <t>Neuanlage</t>
  </si>
  <si>
    <t>Baumstreifenbearbeitung</t>
  </si>
  <si>
    <t>Einsaat</t>
  </si>
  <si>
    <t>Schnitt</t>
  </si>
  <si>
    <t>Planung/Organisation</t>
  </si>
  <si>
    <t>Streuobstbestand</t>
  </si>
  <si>
    <t>Unternutzung</t>
  </si>
  <si>
    <t xml:space="preserve">Pflanzung </t>
  </si>
  <si>
    <t>Akh</t>
  </si>
  <si>
    <t>Summe</t>
  </si>
  <si>
    <t>Förderung</t>
  </si>
  <si>
    <t>Streuobst für Alle Pflanzung</t>
  </si>
  <si>
    <t>€ je ha</t>
  </si>
  <si>
    <t>Baumschutz und Binden</t>
  </si>
  <si>
    <t>Material- und Maschinenkosten</t>
  </si>
  <si>
    <t>Pflanzgut</t>
  </si>
  <si>
    <t>Pfahl und Schutz</t>
  </si>
  <si>
    <t>Bodenanalyse</t>
  </si>
  <si>
    <t>Weiterbildung</t>
  </si>
  <si>
    <t>Deckungsbeitrag Streuobstanbau</t>
  </si>
  <si>
    <t>Stundenlohn Familie</t>
  </si>
  <si>
    <t>Abschreibung</t>
  </si>
  <si>
    <t>AfA Gebäude</t>
  </si>
  <si>
    <t>Gebäudewert</t>
  </si>
  <si>
    <t>Arbeitsstunden Angestellte</t>
  </si>
  <si>
    <t>Pacht</t>
  </si>
  <si>
    <t>€/Jahr</t>
  </si>
  <si>
    <t>- AfA Bestand</t>
  </si>
  <si>
    <t>- var. Material-/Maschinenkosten</t>
  </si>
  <si>
    <t>Deckungsbeitrag 1</t>
  </si>
  <si>
    <t>Deckungsbeitrag 2</t>
  </si>
  <si>
    <t>Betriebsdaten</t>
  </si>
  <si>
    <t>Bäume 1.-5. Standjahr</t>
  </si>
  <si>
    <t>Bäume 6.-10. Standjahr</t>
  </si>
  <si>
    <t>Bäume 11.-20. Standjahr</t>
  </si>
  <si>
    <t>Bäume 21.-50. Standjahr</t>
  </si>
  <si>
    <t>ja</t>
  </si>
  <si>
    <t>Bio-Anlage</t>
  </si>
  <si>
    <t>Neupflanzung</t>
  </si>
  <si>
    <t>Zinsanspruch investiertes Kapital</t>
  </si>
  <si>
    <t>KULAP K78 Erschwerte Unternutzung</t>
  </si>
  <si>
    <t>€ je Baum max.</t>
  </si>
  <si>
    <t>LNPR Pflanzung Grundpauschale</t>
  </si>
  <si>
    <t>LNPR Pflanzung Pflanzgutpauschale Bio</t>
  </si>
  <si>
    <t>LNPR Pflanzung Pflanzgutpauschale konventionell</t>
  </si>
  <si>
    <t>LNPR Pflanzung Zusatzpauschale Beweidung</t>
  </si>
  <si>
    <t>LNPR Pflege- und Sanierungsschnitt Pflegeklasse I</t>
  </si>
  <si>
    <t>LNPR Pflege- und Sanierungsschnitt Pflegeklasse II</t>
  </si>
  <si>
    <t>LNPR Pflege- und Sanierungsschnitt Pflegeklasse III</t>
  </si>
  <si>
    <t>VNP Q07/G28 Erhalt der Streuobstbäume</t>
  </si>
  <si>
    <t>VNP Sonstiges</t>
  </si>
  <si>
    <t>KULAP Sonstiges</t>
  </si>
  <si>
    <t>KULAP I82 Streuobstpflege Baum ab 2010</t>
  </si>
  <si>
    <t>KULAP I82 Streuobstpflege Baum ab 2000</t>
  </si>
  <si>
    <t>KULAP I82 Streuobstpflege Baum vor 2000</t>
  </si>
  <si>
    <t>GAP Säule I Einkommensgrundstützung</t>
  </si>
  <si>
    <t>GAP Säule I Umverteilung</t>
  </si>
  <si>
    <t>GAP Säule I ÖR-Maßnahmen</t>
  </si>
  <si>
    <t>KULAP I84 Einrichtung Agroforst</t>
  </si>
  <si>
    <t>€/Jahr Gesamtfläche</t>
  </si>
  <si>
    <t>€ Gesamtfläche Neuanlage</t>
  </si>
  <si>
    <t xml:space="preserve">Bäume bzw. ha </t>
  </si>
  <si>
    <t>Pflanzenschutz</t>
  </si>
  <si>
    <t>Saatgut</t>
  </si>
  <si>
    <t>Mulchen 2x</t>
  </si>
  <si>
    <t>Mahd 2x</t>
  </si>
  <si>
    <t>anteilig Altersstruktur</t>
  </si>
  <si>
    <t>Akh aktuelle Altersstruktur</t>
  </si>
  <si>
    <t>€ aktuelle Altersstruktur</t>
  </si>
  <si>
    <t>Durchschnitt 50 Jahre inkl. Pflanzförderung</t>
  </si>
  <si>
    <t>Momentaufnahme aktuelle Altersstruktur</t>
  </si>
  <si>
    <t>- Akh-Aufwand Familie</t>
  </si>
  <si>
    <t>nein</t>
  </si>
  <si>
    <t>Arbeitsertrag nicht entlohnte Familien-AK ohne Förderung</t>
  </si>
  <si>
    <t>Arbeitsertrag nicht entlohnte Familien-AK mit Förderung</t>
  </si>
  <si>
    <t xml:space="preserve">Anteil Tafelware </t>
  </si>
  <si>
    <t>Ertrag je Baum</t>
  </si>
  <si>
    <t>Erträge</t>
  </si>
  <si>
    <t xml:space="preserve">Erlös Tafelware </t>
  </si>
  <si>
    <t xml:space="preserve">Erlös Mostware </t>
  </si>
  <si>
    <t>Ertrag Heu</t>
  </si>
  <si>
    <t>Erlös Heu</t>
  </si>
  <si>
    <t xml:space="preserve">Obst Gesamt </t>
  </si>
  <si>
    <t xml:space="preserve">Unternutzung Gesamt </t>
  </si>
  <si>
    <t>Gesamt</t>
  </si>
  <si>
    <t>Laufzeit Jahre</t>
  </si>
  <si>
    <t>Deckungsbeitrag</t>
  </si>
  <si>
    <t>Kennzahlen</t>
  </si>
  <si>
    <t>anteilig Alterstruktur</t>
  </si>
  <si>
    <t>GAP Säule I</t>
  </si>
  <si>
    <t>LNPR</t>
  </si>
  <si>
    <t>VNP</t>
  </si>
  <si>
    <t>KULAP</t>
  </si>
  <si>
    <t>Streuobst für alle, Sonstiges</t>
  </si>
  <si>
    <t>Erträge und Erlöse</t>
  </si>
  <si>
    <t>grüne Felder mit Betriebsdaten ausfüllen</t>
  </si>
  <si>
    <t>-</t>
  </si>
  <si>
    <t>Tafelware</t>
  </si>
  <si>
    <t>Mostware</t>
  </si>
  <si>
    <t xml:space="preserve">Bio Tafelware </t>
  </si>
  <si>
    <t>Bio Mostware</t>
  </si>
  <si>
    <t>Heu</t>
  </si>
  <si>
    <t>€/dt</t>
  </si>
  <si>
    <t xml:space="preserve">Tafelware konv. </t>
  </si>
  <si>
    <t xml:space="preserve">Mostware konv. </t>
  </si>
  <si>
    <t>Mostware Bio</t>
  </si>
  <si>
    <t xml:space="preserve">Tafelware Bio </t>
  </si>
  <si>
    <t xml:space="preserve">Maschinenkosten </t>
  </si>
  <si>
    <t>Maschinenkosten Kleingeräte</t>
  </si>
  <si>
    <t>Maschinenkosten Großgeräte</t>
  </si>
  <si>
    <t>Förderung gesamt</t>
  </si>
  <si>
    <t>Sonstige Programme (LEADER, FlurNatur, ...)</t>
  </si>
  <si>
    <t>O10 Beibehaltung Öko Grünland</t>
  </si>
  <si>
    <t>Gesamtfläche €</t>
  </si>
  <si>
    <t>Betrachtung der Erträge für Gesamtbaumzahl und Gesamtfläche (Übersicht C5, C4)</t>
  </si>
  <si>
    <t>Betrachtung der Fördersumme Gesamtfläche und Gesamtanzahl Bäume, Übersicht C4, C5</t>
  </si>
  <si>
    <t>Betrachtung der Zeit. Berechnung mit Bäume C5 und ha C4</t>
  </si>
  <si>
    <t>Akh je Baum, dt</t>
  </si>
  <si>
    <t>Arbeitsstunden (Akh) Streuobstfläche</t>
  </si>
  <si>
    <r>
      <t xml:space="preserve">Ernte Tafelware                             </t>
    </r>
    <r>
      <rPr>
        <i/>
        <sz val="11"/>
        <color theme="1"/>
        <rFont val="Calibri"/>
        <family val="2"/>
        <scheme val="minor"/>
      </rPr>
      <t>je dt</t>
    </r>
  </si>
  <si>
    <t>Streuobstbestand Akh</t>
  </si>
  <si>
    <t>Unternutzung Akh</t>
  </si>
  <si>
    <t>Gesamtfläche Akh</t>
  </si>
  <si>
    <t>Betrachtung der Kosten, Berechnung mit Bäumen und ha (Übersicht C5, C4)</t>
  </si>
  <si>
    <t>Streuobst €</t>
  </si>
  <si>
    <t>Unternutzung €</t>
  </si>
  <si>
    <t>Grünland Wiese</t>
  </si>
  <si>
    <t>€ Gesamtfläche 1.-50. Standjahr SUMME</t>
  </si>
  <si>
    <t>Achtung, die Baumanzahl passt nicht zur Gesamtbaumzahl C5</t>
  </si>
  <si>
    <t>Hinweise zur Nutzung</t>
  </si>
  <si>
    <t>Nutzungsvereinbarung</t>
  </si>
  <si>
    <t>Dateneingabe</t>
  </si>
  <si>
    <t>orangene Felder sind mit Standardwerten ausgefüllt und können bei Bedarf angepasst werden</t>
  </si>
  <si>
    <t>Übersicht</t>
  </si>
  <si>
    <t>Arbeitszeit</t>
  </si>
  <si>
    <t>Kosten</t>
  </si>
  <si>
    <t>grüne Felder mit Betriebsdaten ausfüllen, teilweise sind Standardwerte vorgegeben</t>
  </si>
  <si>
    <t>Kalkulationshilfe Streuobst (Apfel)</t>
  </si>
  <si>
    <t>Mit der Kalkulationshilfe kann der Deckungsbeitrag der Bewirtschaftung eines Streuobstbestandes zur Erzeugung von Most- und Tafelware errechnet werden. Verarbeitung und Vermarktung werden in der Kalkulation nicht berücksichtigt, sind jedoch wichtige Faktoren in der Ermittlung der Wirtschaftlichkeit des Betriebs. Als Unternutzung ist eine Wiese angelegt.</t>
  </si>
  <si>
    <t>Erweiterungen der Kalkulationshilfe zu Obstarten, Verarbeitung und Unternutzung folgen.</t>
  </si>
  <si>
    <t>Es sind alle 5 Tabellenblätter/Reiter auszufüllen. In der Übersicht findet sich das Ergebnis.</t>
  </si>
  <si>
    <t>€ je Baum, ha, Stk, h</t>
  </si>
  <si>
    <t>Versicherung</t>
  </si>
  <si>
    <t>Zertifizierung</t>
  </si>
  <si>
    <t>€/Jahr pro ha bzw. Baum</t>
  </si>
  <si>
    <t>Aufbau der Kalkulationshilfe</t>
  </si>
  <si>
    <t>weiße, blaue und graue Felder sind Berechnungen und können nicht verändert werden</t>
  </si>
  <si>
    <t>-  erfasst die Betriebsdaten, Stundensätze und Kapitalkosten
-  stellt Deckungsbeitrag und Kennzahlen dar</t>
  </si>
  <si>
    <t>-  erfasst aktuelle (Netto-) Preise für erzeugte Ware (aktuell nur Apfel)
-  berechnet Erlöse aus Obst und Unternutzung</t>
  </si>
  <si>
    <r>
      <t xml:space="preserve">-  händische/maschinelle Ernte wählen
-  Unternutzung wählen
-  Spalte </t>
    </r>
    <r>
      <rPr>
        <i/>
        <sz val="11"/>
        <color theme="1"/>
        <rFont val="Calibri"/>
        <family val="2"/>
        <scheme val="minor"/>
      </rPr>
      <t xml:space="preserve">"Akh je Baum, dt" </t>
    </r>
    <r>
      <rPr>
        <sz val="11"/>
        <color theme="1"/>
        <rFont val="Calibri"/>
        <family val="2"/>
        <scheme val="minor"/>
      </rPr>
      <t>enthält Standardwerte, kann jedoch betriebsspezifisch angepasst werden. 
   Die Werte werden je nach Standperiode mit Faktoren verrechnet.</t>
    </r>
  </si>
  <si>
    <r>
      <t xml:space="preserve">Ernte Mostware händisch            </t>
    </r>
    <r>
      <rPr>
        <i/>
        <sz val="11"/>
        <color theme="1"/>
        <rFont val="Calibri"/>
        <family val="2"/>
        <scheme val="minor"/>
      </rPr>
      <t>je dt</t>
    </r>
  </si>
  <si>
    <r>
      <t xml:space="preserve">Ernte Mostware maschinell         </t>
    </r>
    <r>
      <rPr>
        <i/>
        <sz val="11"/>
        <color theme="1"/>
        <rFont val="Calibri"/>
        <family val="2"/>
        <scheme val="minor"/>
      </rPr>
      <t>je dt</t>
    </r>
  </si>
  <si>
    <r>
      <t xml:space="preserve">Transport                                         </t>
    </r>
    <r>
      <rPr>
        <i/>
        <sz val="11"/>
        <color theme="1"/>
        <rFont val="Calibri"/>
        <family val="2"/>
        <scheme val="minor"/>
      </rPr>
      <t>je dt</t>
    </r>
  </si>
  <si>
    <r>
      <t xml:space="preserve">ökologische Aufwertung         </t>
    </r>
    <r>
      <rPr>
        <i/>
        <sz val="11"/>
        <color theme="1"/>
        <rFont val="Calibri"/>
        <family val="2"/>
        <scheme val="minor"/>
      </rPr>
      <t xml:space="preserve">      je ha </t>
    </r>
    <r>
      <rPr>
        <sz val="11"/>
        <color theme="1"/>
        <rFont val="Calibri"/>
        <family val="2"/>
        <scheme val="minor"/>
      </rPr>
      <t xml:space="preserve"> </t>
    </r>
  </si>
  <si>
    <t>AfA Bestand ohne Förderung</t>
  </si>
  <si>
    <t xml:space="preserve">- </t>
  </si>
  <si>
    <t>Hinweise</t>
  </si>
  <si>
    <t>Hinweise zu einzelnen Feldern lassen sich an einem roten Dreieck in der oberen rechten Ecke erkennen. Zum Lesen einfach mit der Maus darüberfahren.</t>
  </si>
  <si>
    <r>
      <t xml:space="preserve">-  erfasst Material- und Maschinenkosten (netto)
-  Spalte </t>
    </r>
    <r>
      <rPr>
        <i/>
        <sz val="11"/>
        <color theme="1"/>
        <rFont val="Calibri"/>
        <family val="2"/>
        <scheme val="minor"/>
      </rPr>
      <t>"€ je Baum, ha, Stk, h"</t>
    </r>
    <r>
      <rPr>
        <sz val="11"/>
        <color theme="1"/>
        <rFont val="Calibri"/>
        <family val="2"/>
        <scheme val="minor"/>
      </rPr>
      <t xml:space="preserve"> enthält Standardwerte, kann jedoch betriebsspezifisch angepasst werden.
-  Maschinenkosten berechnen sich anhand der Akh im Reiter "Arbeitszeit" 
-  Abschreibungsraten sind linear und auf 40 Jahre Nutzungsdauer gerechnet</t>
    </r>
  </si>
  <si>
    <t>Kosten minus Erträge erste 10 Jahre</t>
  </si>
  <si>
    <t>Einkommensbeitrag mit Förderung</t>
  </si>
  <si>
    <t>+ Fördersumme erste 10 Jahre anteilig</t>
  </si>
  <si>
    <r>
      <t xml:space="preserve">Schubert, Lara A. (2021) </t>
    </r>
    <r>
      <rPr>
        <i/>
        <sz val="11"/>
        <color theme="1"/>
        <rFont val="Calibri"/>
        <family val="2"/>
        <scheme val="minor"/>
      </rPr>
      <t>Produktionstechnische und ökonomische Aspekte der Streuobstwiesenbewirtschaftung</t>
    </r>
  </si>
  <si>
    <r>
      <t xml:space="preserve">Stockert, Thilo (1999) </t>
    </r>
    <r>
      <rPr>
        <i/>
        <sz val="11"/>
        <color theme="1"/>
        <rFont val="Calibri"/>
        <family val="2"/>
        <scheme val="minor"/>
      </rPr>
      <t>Kostenkalkulation im ökologischen Apfelanbau</t>
    </r>
  </si>
  <si>
    <r>
      <t xml:space="preserve">Degenbeck, Martin (2013) </t>
    </r>
    <r>
      <rPr>
        <i/>
        <sz val="11"/>
        <color theme="1"/>
        <rFont val="Calibri"/>
        <family val="2"/>
        <scheme val="minor"/>
      </rPr>
      <t>Wirtschaftlichkeit des Streuobstbaus – Bio-Streuobst kann sich rechnen!</t>
    </r>
  </si>
  <si>
    <r>
      <t xml:space="preserve">Stöckl, Georg (2013 - 2023) </t>
    </r>
    <r>
      <rPr>
        <i/>
        <sz val="11"/>
        <color theme="1"/>
        <rFont val="Calibri"/>
        <family val="2"/>
        <scheme val="minor"/>
      </rPr>
      <t>DB Bio-Streuobst</t>
    </r>
  </si>
  <si>
    <r>
      <t xml:space="preserve">Rösler, Markus (2013) </t>
    </r>
    <r>
      <rPr>
        <i/>
        <sz val="11"/>
        <color theme="1"/>
        <rFont val="Calibri"/>
        <family val="2"/>
        <scheme val="minor"/>
      </rPr>
      <t>Kostenkalkulation Streuobst</t>
    </r>
  </si>
  <si>
    <r>
      <t xml:space="preserve">FiBL, Häseli, Andi (2016) </t>
    </r>
    <r>
      <rPr>
        <i/>
        <sz val="11"/>
        <color theme="1"/>
        <rFont val="Calibri"/>
        <family val="2"/>
        <scheme val="minor"/>
      </rPr>
      <t>Modellrechnung Hochstamm CH</t>
    </r>
  </si>
  <si>
    <r>
      <t xml:space="preserve">Kruckelmann, Ingmar (2011) </t>
    </r>
    <r>
      <rPr>
        <i/>
        <sz val="11"/>
        <color theme="1"/>
        <rFont val="Calibri"/>
        <family val="2"/>
        <scheme val="minor"/>
      </rPr>
      <t>Tafelapfelanbau auf Hochstämmen</t>
    </r>
  </si>
  <si>
    <t>Quellen</t>
  </si>
  <si>
    <r>
      <t xml:space="preserve">Degenbeck, Martin (2005 - 2016) </t>
    </r>
    <r>
      <rPr>
        <i/>
        <sz val="11"/>
        <color theme="1"/>
        <rFont val="Calibri"/>
        <family val="2"/>
        <scheme val="minor"/>
      </rPr>
      <t>Deckungsbeitragsrechnung Streuobstanlage, Pflegeaufwand Streuobstwiese</t>
    </r>
    <r>
      <rPr>
        <sz val="11"/>
        <color theme="1"/>
        <rFont val="Calibri"/>
        <family val="2"/>
        <scheme val="minor"/>
      </rPr>
      <t xml:space="preserve"> </t>
    </r>
  </si>
  <si>
    <r>
      <t xml:space="preserve">Kruckelmann, Ingmar (2011) </t>
    </r>
    <r>
      <rPr>
        <i/>
        <sz val="11"/>
        <color theme="1"/>
        <rFont val="Calibri"/>
        <family val="2"/>
        <scheme val="minor"/>
      </rPr>
      <t>Pflegebedarf und -kosten von Apfel-Hochstämmen am Beispiel der Domäne Frankenhausen</t>
    </r>
  </si>
  <si>
    <r>
      <t xml:space="preserve">FiBL (2016) </t>
    </r>
    <r>
      <rPr>
        <i/>
        <sz val="11"/>
        <color theme="1"/>
        <rFont val="Calibri"/>
        <family val="2"/>
        <scheme val="minor"/>
      </rPr>
      <t>Merkblatt - Biologischer Obstbau auf Hochstammbäumen</t>
    </r>
  </si>
  <si>
    <r>
      <t xml:space="preserve">Kern, Reinhard (2006) </t>
    </r>
    <r>
      <rPr>
        <i/>
        <sz val="11"/>
        <color theme="1"/>
        <rFont val="Calibri"/>
        <family val="2"/>
        <scheme val="minor"/>
      </rPr>
      <t>Bedeutung und Wirtschaftlichkeit des Streuobstbaus in Österreich</t>
    </r>
  </si>
  <si>
    <r>
      <t xml:space="preserve">Agroscope, Alder, Thomas (2007) </t>
    </r>
    <r>
      <rPr>
        <i/>
        <sz val="11"/>
        <color theme="1"/>
        <rFont val="Calibri"/>
        <family val="2"/>
        <scheme val="minor"/>
      </rPr>
      <t>Vollkostenkalkulation für die Mostobstproduktion</t>
    </r>
  </si>
  <si>
    <r>
      <t xml:space="preserve">Neben der Berechnung der Wirtschaftlichkeit für eine neugepflanzte Streuobstfläche (im Schnitt über 50 Jahre), zeigt die Kalkulationshilfe in separaten Zeilen und Spalten </t>
    </r>
    <r>
      <rPr>
        <i/>
        <sz val="11"/>
        <color theme="1"/>
        <rFont val="Calibri"/>
        <family val="2"/>
        <scheme val="minor"/>
      </rPr>
      <t xml:space="preserve">(kursive Schrift) </t>
    </r>
    <r>
      <rPr>
        <sz val="11"/>
        <color theme="1"/>
        <rFont val="Calibri"/>
        <family val="2"/>
        <scheme val="minor"/>
      </rPr>
      <t>auch die wirtschaftliche Situation eines heterogenen Streuobstbestandes auf. Der Deckungsbeitrag bildet stets das aktuelle Jahr ab, Anlagenaufbau und Abschreibung werden hier nicht berücksichtigt. 
Achtung: Die Ergebnisse der Altersverteilung sind jeweils nur in den Feldern mit kursiver Schrift abzulesen. Die übrigen Ergebnisse zeigen weiterhin den Durchschnitt über die Standzeit vom 1.-50. Jahr.</t>
    </r>
  </si>
  <si>
    <r>
      <t xml:space="preserve">pro Jahr, </t>
    </r>
    <r>
      <rPr>
        <b/>
        <sz val="11"/>
        <color theme="1"/>
        <rFont val="Calibri"/>
        <family val="2"/>
      </rPr>
      <t>Ø</t>
    </r>
    <r>
      <rPr>
        <b/>
        <sz val="11"/>
        <color theme="1"/>
        <rFont val="Calibri"/>
        <family val="2"/>
        <scheme val="minor"/>
      </rPr>
      <t xml:space="preserve"> 11.-50. Standjahr</t>
    </r>
  </si>
  <si>
    <t>pro Jahr, Ø
1.-50. Standjahr</t>
  </si>
  <si>
    <t>pro Jahr, Ø
11.-50. Standjahr</t>
  </si>
  <si>
    <r>
      <t xml:space="preserve">Aendekerk, Raymond (2000) </t>
    </r>
    <r>
      <rPr>
        <i/>
        <sz val="11"/>
        <color theme="1"/>
        <rFont val="Calibri"/>
        <family val="2"/>
        <scheme val="minor"/>
      </rPr>
      <t>Betriebswirtschaftliche Aspekte des Hochstammobstbaus</t>
    </r>
  </si>
  <si>
    <r>
      <t xml:space="preserve">Bosch, Hans-Thomas (2016) </t>
    </r>
    <r>
      <rPr>
        <i/>
        <sz val="11"/>
        <color theme="1"/>
        <rFont val="Calibri"/>
        <family val="2"/>
        <scheme val="minor"/>
      </rPr>
      <t>Kalkulation zu Kosten von Pflanzung und Pflege</t>
    </r>
  </si>
  <si>
    <r>
      <t xml:space="preserve">Geng, Martin (2021) </t>
    </r>
    <r>
      <rPr>
        <i/>
        <sz val="11"/>
        <color theme="1"/>
        <rFont val="Calibri"/>
        <family val="2"/>
        <scheme val="minor"/>
      </rPr>
      <t>Obstanlagenkalkulation</t>
    </r>
  </si>
  <si>
    <t>-"- ohne Akh-Entlohnung</t>
  </si>
  <si>
    <t>Achtung, Förderprogramme sind nicht kombinierbar</t>
  </si>
  <si>
    <t>Abkürzungen</t>
  </si>
  <si>
    <t>GAP</t>
  </si>
  <si>
    <t>AfA</t>
  </si>
  <si>
    <t>- (kalkulatorischer) Zinsaufwand</t>
  </si>
  <si>
    <t>AK</t>
  </si>
  <si>
    <t>EK</t>
  </si>
  <si>
    <t>kg</t>
  </si>
  <si>
    <t>h</t>
  </si>
  <si>
    <t>Absetzung für Abnutzung</t>
  </si>
  <si>
    <t>Arbeitskraft</t>
  </si>
  <si>
    <t>Arbeitskostenstunde</t>
  </si>
  <si>
    <t>Dezitonne</t>
  </si>
  <si>
    <t>Eigenkapital</t>
  </si>
  <si>
    <t>Stunde</t>
  </si>
  <si>
    <t>Hektar</t>
  </si>
  <si>
    <t>Gemeinsame Agrarpolitik der EU</t>
  </si>
  <si>
    <t>Kilogramm</t>
  </si>
  <si>
    <t>Stück</t>
  </si>
  <si>
    <t>Bayerisches Kulturlandschaftsprogramm</t>
  </si>
  <si>
    <t>Bayerisches Vertragsnaturschutzprogramm</t>
  </si>
  <si>
    <t>Durchschnitt Ertragsphase 
11.-50. Standjahr</t>
  </si>
  <si>
    <t xml:space="preserve">Nicht berücksichtigt wurden: weitere Unternutzungen, Verarbeitung, Vermarktung (Sortierung, Lagerung), Hackschnitzel und Holzerträge, längere Standdauer der Bäume, differenzierte Maschinenstunden, Baumausfälle </t>
  </si>
  <si>
    <t>€/Baum</t>
  </si>
  <si>
    <t>€/ha</t>
  </si>
  <si>
    <t>Aufwand Lohnarbeit/Dienstleistung</t>
  </si>
  <si>
    <t>Stundenlohn Angestellte</t>
  </si>
  <si>
    <t>Landschaftspflege- und Naturpark-Richtlinie</t>
  </si>
  <si>
    <t>Schädlingskontrolle</t>
  </si>
  <si>
    <t>- AfA Gebäude</t>
  </si>
  <si>
    <t>Einkommensbeitrag vor Förderung</t>
  </si>
  <si>
    <t>Zinsertrag eingesetztes EK ohne Förderung pro Jahr</t>
  </si>
  <si>
    <t>Einkommensbeitrag je Baum ohne Förderung pro Jahr</t>
  </si>
  <si>
    <t>Einkommensbeitrag je ha pro Jahr</t>
  </si>
  <si>
    <t xml:space="preserve">Informieren Sie sich über die aktuellen Förderbedingungen und -sätze. </t>
  </si>
  <si>
    <t>-  abgerufene Fördermaßnahmen wählen
-  weiß hinterlegt sind vorgegebene Fördersätze (aktuelle Höhe der Fördersätze prüfen)
-  in grünen/orangenen Feldern sind die individuellen Förderdetails ggf. anzupassen</t>
  </si>
  <si>
    <t>Die Nutzungsvereinbarung regelt die Rechte der Bayerischen Landesanstalt für Landwirtschaft (LfL) und des Nutzers. Die LfL gewährt der Nutzerin das einfache, zeitlich unbegrenzte und nicht übertragbare Nutzungsrecht, die Kalkulationshilfe auf seinem/ihrem Computer zu nutzen. Das Kopieren oder jede anderweitige Vervielfältigung, die Abgabe (auch einer veränderten Version) und das Überlassen der Kalkulationshilfe an Dritte ist unter den folgenden Bedingungen erlaubt:
·  Dem Empfänger ist die Weitergabe nur unter Angabe des Copyright erlaubt.
·  Die Copyright Angaben dürfen nicht gelöscht werden.
Die LfL behält sich vor, die Kalkulationshilfe sowie die zugehörige Benutzerinformation jederzeit zu ändern, weiterzuentwickeln, zu verbessern oder durch eine neue Entwicklung zu ersetzen. Die bereitgestellten Informationen sind nach bestem Wissen und Gewissen erarbeitet und geprüft. Eine Gewähr für die jederzeitige Aktualität, Richtigkeit und Vollständigkeit der bereit gestellten Informationen kann allerdings nicht übernommen werden.</t>
  </si>
  <si>
    <t>https://www.stmelf.bayern.de/service/haftungsausschluss-links-und-verweise/index.html</t>
  </si>
  <si>
    <t>- Aufwand Lohnarbeit/Dienstleistung</t>
  </si>
  <si>
    <t>Lassen Sie sich bei Ihrem zuständigen AELF oder der Streuobstberatung an der UNB zu den für Sie möglichen Förderprogrammen beraten.</t>
  </si>
  <si>
    <t>Arbeitszeit je ha</t>
  </si>
  <si>
    <t>Akh/ha</t>
  </si>
  <si>
    <t>Der Deckungsbeitrag wird für 50 Standjahre berechnet und als jährlicher Durchschnitt der Ertragsphase vom 11.-50. Standjahr angegeben. Der Aufbau des Streuobstbestandes mit Perioden ohne bzw. mit zunehmendem Obstertrag wird durch die Abschreibung berücksichtigt. Eine potenzielle längere Standdauer der Bäume, kann die Wirtschaftlichkeit des Bestandes steigern, wird hier allerdings nicht berücksichtigt.</t>
  </si>
  <si>
    <t>Abschreibungsdauer Gebäude</t>
  </si>
  <si>
    <t>Jahre</t>
  </si>
  <si>
    <t>Erstellt: Clarissa Schmelzle, LfL - Agrarökologie und Biologischer Landbau IAB 4a, Version 2, Stand: 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</si>
</sst>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_-* #,##0_-;\-* #,##0_-;_-* &quot;-&quot;??_-;_-@_-"/>
    <numFmt numFmtId="167" formatCode="#,##0_ ;\-#,##0\ "/>
  </numFmts>
  <fonts count="34" x14ac:knownFonts="1">
    <font>
      <sz val="11"/>
      <color theme="1"/>
      <name val="Calibri"/>
      <family val="2"/>
      <scheme val="minor"/>
    </font>
    <font>
      <b/>
      <sz val="13"/>
      <name val="Arial"/>
      <family val="2"/>
    </font>
    <font>
      <i/>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rgb="FFFF0000"/>
      <name val="Calibri"/>
      <family val="2"/>
      <scheme val="minor"/>
    </font>
    <font>
      <sz val="11"/>
      <color theme="8" tint="-0.249977111117893"/>
      <name val="Calibri"/>
      <family val="2"/>
      <scheme val="minor"/>
    </font>
    <font>
      <b/>
      <i/>
      <sz val="11"/>
      <color theme="1"/>
      <name val="Calibri"/>
      <family val="2"/>
      <scheme val="minor"/>
    </font>
    <font>
      <sz val="11"/>
      <name val="Calibri"/>
      <family val="2"/>
      <scheme val="minor"/>
    </font>
    <font>
      <sz val="11"/>
      <color theme="9" tint="0.39997558519241921"/>
      <name val="Calibri"/>
      <family val="2"/>
      <scheme val="minor"/>
    </font>
    <font>
      <b/>
      <sz val="14"/>
      <name val="Calibri"/>
      <family val="2"/>
      <scheme val="minor"/>
    </font>
    <font>
      <i/>
      <sz val="9"/>
      <color theme="2" tint="-0.249977111117893"/>
      <name val="Calibri"/>
      <family val="2"/>
      <scheme val="minor"/>
    </font>
    <font>
      <i/>
      <sz val="11"/>
      <color theme="2" tint="-0.499984740745262"/>
      <name val="Calibri"/>
      <family val="2"/>
      <scheme val="minor"/>
    </font>
    <font>
      <b/>
      <sz val="11"/>
      <name val="Calibri"/>
      <family val="2"/>
      <scheme val="minor"/>
    </font>
    <font>
      <b/>
      <sz val="12"/>
      <name val="Calibri"/>
      <family val="2"/>
      <scheme val="minor"/>
    </font>
    <font>
      <i/>
      <sz val="11"/>
      <color theme="9" tint="-0.499984740745262"/>
      <name val="Calibri"/>
      <family val="2"/>
      <scheme val="minor"/>
    </font>
    <font>
      <u/>
      <sz val="11"/>
      <color theme="1"/>
      <name val="Calibri"/>
      <family val="2"/>
      <scheme val="minor"/>
    </font>
    <font>
      <i/>
      <sz val="11"/>
      <color theme="6"/>
      <name val="Calibri"/>
      <family val="2"/>
      <scheme val="minor"/>
    </font>
    <font>
      <sz val="11"/>
      <color theme="6"/>
      <name val="Calibri"/>
      <family val="2"/>
      <scheme val="minor"/>
    </font>
    <font>
      <sz val="9"/>
      <color indexed="81"/>
      <name val="Segoe UI"/>
      <family val="2"/>
    </font>
    <font>
      <i/>
      <sz val="11"/>
      <color theme="0"/>
      <name val="Calibri"/>
      <family val="2"/>
      <scheme val="minor"/>
    </font>
    <font>
      <b/>
      <sz val="9"/>
      <color indexed="81"/>
      <name val="Segoe UI"/>
      <family val="2"/>
    </font>
    <font>
      <sz val="11"/>
      <color theme="0"/>
      <name val="Calibri"/>
      <family val="2"/>
      <scheme val="minor"/>
    </font>
    <font>
      <b/>
      <sz val="11"/>
      <color theme="1"/>
      <name val="Calibri"/>
      <family val="2"/>
    </font>
    <font>
      <b/>
      <sz val="11"/>
      <color theme="2" tint="-0.499984740745262"/>
      <name val="Calibri"/>
      <family val="2"/>
      <scheme val="minor"/>
    </font>
    <font>
      <sz val="11"/>
      <color theme="2" tint="-0.499984740745262"/>
      <name val="Calibri"/>
      <family val="2"/>
      <scheme val="minor"/>
    </font>
    <font>
      <b/>
      <i/>
      <sz val="11"/>
      <color theme="2" tint="-0.499984740745262"/>
      <name val="Calibri"/>
      <family val="2"/>
      <scheme val="minor"/>
    </font>
    <font>
      <sz val="9"/>
      <color indexed="81"/>
      <name val="Segoe UI"/>
      <charset val="1"/>
    </font>
    <font>
      <b/>
      <sz val="14"/>
      <color theme="0"/>
      <name val="Calibri"/>
      <family val="2"/>
      <scheme val="minor"/>
    </font>
    <font>
      <b/>
      <sz val="11"/>
      <name val="Arial"/>
      <family val="2"/>
    </font>
    <font>
      <b/>
      <sz val="11"/>
      <color theme="4" tint="-0.499984740745262"/>
      <name val="Arial"/>
      <family val="2"/>
    </font>
    <font>
      <u/>
      <sz val="11"/>
      <color theme="1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rgb="FFE3FBD6"/>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7"/>
        <bgColor indexed="64"/>
      </patternFill>
    </fill>
    <fill>
      <patternFill patternType="solid">
        <fgColor rgb="FFC00000"/>
        <bgColor indexed="64"/>
      </patternFill>
    </fill>
    <fill>
      <patternFill patternType="solid">
        <fgColor theme="8" tint="-0.249977111117893"/>
        <bgColor indexed="64"/>
      </patternFill>
    </fill>
    <fill>
      <patternFill patternType="solid">
        <fgColor rgb="FFC7E98F"/>
        <bgColor indexed="64"/>
      </patternFill>
    </fill>
    <fill>
      <patternFill patternType="solid">
        <fgColor rgb="FFFBE3C9"/>
        <bgColor indexed="64"/>
      </patternFill>
    </fill>
    <fill>
      <patternFill patternType="solid">
        <fgColor theme="7" tint="0.59999389629810485"/>
        <bgColor indexed="64"/>
      </patternFill>
    </fill>
    <fill>
      <patternFill patternType="solid">
        <fgColor theme="4"/>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right style="thin">
        <color theme="0"/>
      </right>
      <top style="thin">
        <color theme="0"/>
      </top>
      <bottom style="thin">
        <color theme="0"/>
      </bottom>
      <diagonal/>
    </border>
    <border>
      <left/>
      <right style="thin">
        <color theme="2" tint="-0.49998474074526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0"/>
      </bottom>
      <diagonal/>
    </border>
    <border>
      <left style="thin">
        <color theme="2" tint="-0.499984740745262"/>
      </left>
      <right/>
      <top style="thin">
        <color theme="0"/>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style="thin">
        <color theme="2"/>
      </top>
      <bottom/>
      <diagonal/>
    </border>
    <border>
      <left style="thin">
        <color indexed="64"/>
      </left>
      <right/>
      <top style="thin">
        <color theme="2"/>
      </top>
      <bottom/>
      <diagonal/>
    </border>
    <border>
      <left/>
      <right/>
      <top style="thin">
        <color theme="2"/>
      </top>
      <bottom/>
      <diagonal/>
    </border>
    <border>
      <left/>
      <right style="thin">
        <color indexed="64"/>
      </right>
      <top style="thin">
        <color theme="2"/>
      </top>
      <bottom/>
      <diagonal/>
    </border>
    <border>
      <left/>
      <right style="thin">
        <color indexed="64"/>
      </right>
      <top style="thin">
        <color theme="0"/>
      </top>
      <bottom style="thin">
        <color theme="0"/>
      </bottom>
      <diagonal/>
    </border>
    <border>
      <left/>
      <right style="thin">
        <color indexed="64"/>
      </right>
      <top/>
      <bottom style="thin">
        <color theme="0"/>
      </bottom>
      <diagonal/>
    </border>
    <border>
      <left style="thin">
        <color indexed="64"/>
      </left>
      <right/>
      <top/>
      <bottom style="thin">
        <color theme="0"/>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bottom style="thin">
        <color theme="0"/>
      </bottom>
      <diagonal/>
    </border>
    <border>
      <left style="thin">
        <color indexed="64"/>
      </left>
      <right/>
      <top style="thin">
        <color theme="0"/>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2" tint="-0.499984740745262"/>
      </left>
      <right/>
      <top style="thin">
        <color theme="2" tint="-0.499984740745262"/>
      </top>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indexed="64"/>
      </right>
      <top style="thin">
        <color theme="0"/>
      </top>
      <bottom style="thin">
        <color indexed="64"/>
      </bottom>
      <diagonal/>
    </border>
    <border>
      <left style="thin">
        <color theme="2" tint="-0.499984740745262"/>
      </left>
      <right/>
      <top style="thin">
        <color theme="0"/>
      </top>
      <bottom style="thin">
        <color indexed="64"/>
      </bottom>
      <diagonal/>
    </border>
    <border>
      <left style="thin">
        <color theme="2" tint="-0.499984740745262"/>
      </left>
      <right style="thin">
        <color theme="2" tint="-0.499984740745262"/>
      </right>
      <top/>
      <bottom style="thin">
        <color indexed="64"/>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0" fontId="33" fillId="0" borderId="0" applyNumberFormat="0" applyFill="0" applyBorder="0" applyAlignment="0" applyProtection="0"/>
  </cellStyleXfs>
  <cellXfs count="455">
    <xf numFmtId="0" fontId="0" fillId="0" borderId="0" xfId="0"/>
    <xf numFmtId="0" fontId="5" fillId="0" borderId="0" xfId="0" applyFont="1"/>
    <xf numFmtId="0" fontId="0" fillId="0" borderId="0" xfId="0" applyFont="1"/>
    <xf numFmtId="0" fontId="0" fillId="0" borderId="0" xfId="0" applyFill="1" applyBorder="1"/>
    <xf numFmtId="0" fontId="0" fillId="0" borderId="0" xfId="1" applyNumberFormat="1" applyFont="1" applyFill="1" applyBorder="1"/>
    <xf numFmtId="3" fontId="0" fillId="0" borderId="0" xfId="0" applyNumberFormat="1"/>
    <xf numFmtId="0" fontId="0" fillId="0" borderId="0" xfId="0" applyFill="1"/>
    <xf numFmtId="0" fontId="0" fillId="0" borderId="0" xfId="0" applyBorder="1"/>
    <xf numFmtId="0" fontId="8" fillId="0" borderId="0" xfId="0" applyFont="1"/>
    <xf numFmtId="0" fontId="0" fillId="5" borderId="0" xfId="0" applyFill="1"/>
    <xf numFmtId="0" fontId="4" fillId="8" borderId="0" xfId="0" applyFont="1" applyFill="1"/>
    <xf numFmtId="0" fontId="4" fillId="0" borderId="0" xfId="0" applyFont="1" applyFill="1"/>
    <xf numFmtId="0" fontId="10" fillId="0" borderId="0" xfId="0" applyFont="1" applyFill="1"/>
    <xf numFmtId="0" fontId="11" fillId="0" borderId="0" xfId="0" applyFont="1" applyFill="1"/>
    <xf numFmtId="0" fontId="0" fillId="0" borderId="0" xfId="0" applyFont="1" applyFill="1"/>
    <xf numFmtId="0" fontId="13" fillId="0" borderId="0" xfId="0" applyFont="1"/>
    <xf numFmtId="0" fontId="9" fillId="0" borderId="0" xfId="0" applyFont="1"/>
    <xf numFmtId="0" fontId="14" fillId="0" borderId="0" xfId="0" applyFont="1"/>
    <xf numFmtId="0" fontId="4" fillId="0" borderId="0" xfId="0" applyFont="1"/>
    <xf numFmtId="0" fontId="0" fillId="0" borderId="0" xfId="0" applyFont="1" applyFill="1" applyBorder="1"/>
    <xf numFmtId="0" fontId="16" fillId="0" borderId="0" xfId="0" applyFont="1" applyFill="1"/>
    <xf numFmtId="0" fontId="0" fillId="0" borderId="0" xfId="0" applyNumberFormat="1" applyFont="1" applyFill="1" applyBorder="1"/>
    <xf numFmtId="0" fontId="15" fillId="8" borderId="0" xfId="0" applyFont="1" applyFill="1"/>
    <xf numFmtId="0" fontId="9" fillId="0" borderId="0" xfId="0" applyFont="1" applyFill="1"/>
    <xf numFmtId="0" fontId="0" fillId="10" borderId="0" xfId="0" applyFill="1" applyBorder="1"/>
    <xf numFmtId="0" fontId="17" fillId="5" borderId="0" xfId="0" applyFont="1" applyFill="1"/>
    <xf numFmtId="0" fontId="0" fillId="0" borderId="0" xfId="0"/>
    <xf numFmtId="0" fontId="6" fillId="0" borderId="0" xfId="0" applyFont="1" applyFill="1" applyBorder="1"/>
    <xf numFmtId="0" fontId="17" fillId="0" borderId="0" xfId="0" applyFont="1"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0" fillId="0" borderId="10" xfId="0" applyBorder="1"/>
    <xf numFmtId="0" fontId="0" fillId="0" borderId="9" xfId="0" applyFill="1" applyBorder="1"/>
    <xf numFmtId="0" fontId="0" fillId="0" borderId="10" xfId="0" applyFill="1" applyBorder="1"/>
    <xf numFmtId="0" fontId="0" fillId="0" borderId="11" xfId="0" applyBorder="1"/>
    <xf numFmtId="0" fontId="0" fillId="0" borderId="11" xfId="0" applyFill="1" applyBorder="1"/>
    <xf numFmtId="0" fontId="0" fillId="0" borderId="0" xfId="0" applyAlignment="1"/>
    <xf numFmtId="3" fontId="2" fillId="0" borderId="0" xfId="0" applyNumberFormat="1" applyFont="1" applyFill="1" applyAlignment="1"/>
    <xf numFmtId="0" fontId="0" fillId="0" borderId="0" xfId="0" applyFill="1" applyAlignment="1"/>
    <xf numFmtId="0" fontId="2" fillId="0" borderId="0" xfId="0" applyFont="1" applyFill="1" applyAlignment="1"/>
    <xf numFmtId="3" fontId="9" fillId="0" borderId="0" xfId="0" applyNumberFormat="1" applyFont="1" applyFill="1" applyAlignment="1"/>
    <xf numFmtId="2" fontId="2" fillId="0" borderId="0" xfId="0" applyNumberFormat="1" applyFont="1" applyFill="1" applyBorder="1" applyAlignment="1"/>
    <xf numFmtId="0" fontId="4" fillId="4" borderId="1" xfId="0" applyFont="1" applyFill="1" applyBorder="1"/>
    <xf numFmtId="0" fontId="0" fillId="0" borderId="4" xfId="0" applyBorder="1" applyAlignment="1">
      <alignment wrapText="1"/>
    </xf>
    <xf numFmtId="3" fontId="2" fillId="0" borderId="5" xfId="0" applyNumberFormat="1" applyFont="1" applyBorder="1" applyAlignment="1"/>
    <xf numFmtId="0" fontId="0" fillId="0" borderId="4" xfId="0" quotePrefix="1" applyBorder="1" applyAlignment="1">
      <alignment wrapText="1"/>
    </xf>
    <xf numFmtId="0" fontId="0" fillId="2" borderId="4" xfId="0" quotePrefix="1" applyFill="1" applyBorder="1" applyAlignment="1">
      <alignment wrapText="1"/>
    </xf>
    <xf numFmtId="3" fontId="2" fillId="2" borderId="5" xfId="0" applyNumberFormat="1" applyFont="1" applyFill="1" applyBorder="1" applyAlignment="1"/>
    <xf numFmtId="0" fontId="0" fillId="0" borderId="4" xfId="0" quotePrefix="1" applyBorder="1"/>
    <xf numFmtId="0" fontId="0" fillId="0" borderId="5" xfId="0" applyBorder="1" applyAlignment="1"/>
    <xf numFmtId="0" fontId="0" fillId="2" borderId="4" xfId="0" quotePrefix="1" applyFill="1" applyBorder="1"/>
    <xf numFmtId="0" fontId="2" fillId="0" borderId="5" xfId="0" applyFont="1" applyBorder="1" applyAlignment="1"/>
    <xf numFmtId="0" fontId="4" fillId="7" borderId="6" xfId="0" applyFont="1" applyFill="1" applyBorder="1"/>
    <xf numFmtId="2" fontId="2" fillId="0" borderId="16" xfId="0" applyNumberFormat="1" applyFont="1" applyFill="1" applyBorder="1" applyAlignment="1"/>
    <xf numFmtId="0" fontId="0" fillId="0" borderId="18" xfId="0" applyBorder="1" applyAlignment="1">
      <alignment wrapText="1"/>
    </xf>
    <xf numFmtId="0" fontId="0" fillId="0" borderId="19" xfId="0" applyBorder="1" applyAlignment="1">
      <alignment wrapText="1"/>
    </xf>
    <xf numFmtId="0" fontId="18" fillId="0" borderId="0" xfId="1" applyNumberFormat="1" applyFont="1" applyFill="1" applyBorder="1"/>
    <xf numFmtId="0" fontId="0" fillId="0" borderId="1"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0" fillId="0" borderId="6" xfId="0" applyFont="1" applyFill="1" applyBorder="1"/>
    <xf numFmtId="0" fontId="0" fillId="0" borderId="8" xfId="0" applyFont="1" applyFill="1" applyBorder="1"/>
    <xf numFmtId="0" fontId="0" fillId="0" borderId="10" xfId="0" applyFont="1" applyFill="1" applyBorder="1"/>
    <xf numFmtId="0" fontId="0" fillId="0" borderId="13" xfId="0" applyFont="1" applyFill="1" applyBorder="1"/>
    <xf numFmtId="3" fontId="0" fillId="0" borderId="0" xfId="0" applyNumberFormat="1" applyFont="1" applyBorder="1"/>
    <xf numFmtId="0" fontId="0" fillId="4" borderId="0" xfId="0" applyFont="1" applyFill="1" applyBorder="1"/>
    <xf numFmtId="3" fontId="0" fillId="0" borderId="5" xfId="0" applyNumberFormat="1" applyFont="1" applyBorder="1"/>
    <xf numFmtId="0" fontId="9" fillId="4" borderId="4" xfId="0" applyFont="1" applyFill="1" applyBorder="1"/>
    <xf numFmtId="0" fontId="0" fillId="4" borderId="5" xfId="0" applyFont="1" applyFill="1" applyBorder="1"/>
    <xf numFmtId="0" fontId="4" fillId="6" borderId="6" xfId="0" applyFont="1" applyFill="1" applyBorder="1"/>
    <xf numFmtId="3" fontId="4" fillId="6" borderId="7" xfId="0" applyNumberFormat="1" applyFont="1" applyFill="1" applyBorder="1"/>
    <xf numFmtId="3" fontId="4" fillId="6" borderId="8" xfId="0" applyNumberFormat="1" applyFont="1" applyFill="1" applyBorder="1"/>
    <xf numFmtId="0" fontId="2" fillId="4" borderId="10" xfId="0" applyFont="1" applyFill="1" applyBorder="1"/>
    <xf numFmtId="0" fontId="4" fillId="6" borderId="11" xfId="0" applyFont="1" applyFill="1" applyBorder="1"/>
    <xf numFmtId="3" fontId="0" fillId="0" borderId="10" xfId="0" applyNumberFormat="1" applyFont="1" applyBorder="1"/>
    <xf numFmtId="0" fontId="0" fillId="4" borderId="10" xfId="0" applyFont="1" applyFill="1" applyBorder="1"/>
    <xf numFmtId="3" fontId="4" fillId="6" borderId="11" xfId="0" applyNumberFormat="1" applyFont="1" applyFill="1" applyBorder="1"/>
    <xf numFmtId="0" fontId="4" fillId="4" borderId="12" xfId="0" applyFont="1" applyFill="1" applyBorder="1"/>
    <xf numFmtId="0" fontId="4" fillId="4" borderId="12" xfId="0" applyFont="1" applyFill="1" applyBorder="1" applyAlignment="1">
      <alignment wrapText="1"/>
    </xf>
    <xf numFmtId="0" fontId="9" fillId="4" borderId="12" xfId="0" applyFont="1" applyFill="1" applyBorder="1"/>
    <xf numFmtId="0" fontId="0" fillId="3" borderId="22" xfId="0" applyFont="1" applyFill="1" applyBorder="1"/>
    <xf numFmtId="3" fontId="0" fillId="3" borderId="22" xfId="0" applyNumberFormat="1" applyFont="1" applyFill="1" applyBorder="1"/>
    <xf numFmtId="0" fontId="2" fillId="0" borderId="4" xfId="0" applyFont="1" applyFill="1" applyBorder="1"/>
    <xf numFmtId="3" fontId="2" fillId="0" borderId="0" xfId="0" applyNumberFormat="1" applyFont="1" applyBorder="1"/>
    <xf numFmtId="0" fontId="2" fillId="3" borderId="6" xfId="0" applyFont="1" applyFill="1" applyBorder="1"/>
    <xf numFmtId="3" fontId="2" fillId="3" borderId="7" xfId="0" applyNumberFormat="1" applyFont="1" applyFill="1" applyBorder="1"/>
    <xf numFmtId="3" fontId="9" fillId="3" borderId="8" xfId="0" applyNumberFormat="1" applyFont="1" applyFill="1" applyBorder="1"/>
    <xf numFmtId="0" fontId="19" fillId="0" borderId="1" xfId="0" applyFont="1" applyFill="1" applyBorder="1"/>
    <xf numFmtId="0" fontId="19" fillId="0" borderId="3" xfId="0" applyFont="1" applyBorder="1"/>
    <xf numFmtId="3" fontId="0" fillId="0" borderId="22" xfId="0" applyNumberFormat="1" applyFont="1" applyBorder="1"/>
    <xf numFmtId="0" fontId="0" fillId="0" borderId="22" xfId="0" applyFont="1" applyFill="1" applyBorder="1"/>
    <xf numFmtId="0" fontId="2" fillId="3" borderId="11" xfId="0" applyFont="1" applyFill="1" applyBorder="1"/>
    <xf numFmtId="3" fontId="2" fillId="0" borderId="10" xfId="0" applyNumberFormat="1" applyFont="1" applyBorder="1"/>
    <xf numFmtId="3" fontId="2" fillId="3" borderId="11" xfId="0" applyNumberFormat="1" applyFont="1" applyFill="1" applyBorder="1"/>
    <xf numFmtId="0" fontId="0" fillId="0" borderId="24" xfId="0" applyFont="1" applyFill="1" applyBorder="1"/>
    <xf numFmtId="0" fontId="0" fillId="0" borderId="23" xfId="0" applyFont="1" applyFill="1" applyBorder="1"/>
    <xf numFmtId="0" fontId="0" fillId="0" borderId="25" xfId="0" applyNumberFormat="1" applyFont="1" applyFill="1" applyBorder="1"/>
    <xf numFmtId="3" fontId="0" fillId="0" borderId="23" xfId="0" applyNumberFormat="1" applyFont="1" applyBorder="1"/>
    <xf numFmtId="3" fontId="0" fillId="0" borderId="25" xfId="0" applyNumberFormat="1" applyFont="1" applyBorder="1"/>
    <xf numFmtId="3" fontId="0" fillId="0" borderId="26" xfId="0" applyNumberFormat="1" applyFont="1" applyBorder="1"/>
    <xf numFmtId="3" fontId="0" fillId="0" borderId="0" xfId="0" applyNumberFormat="1" applyFont="1" applyFill="1" applyBorder="1"/>
    <xf numFmtId="3" fontId="0" fillId="0" borderId="10" xfId="0" applyNumberFormat="1" applyFont="1" applyFill="1" applyBorder="1"/>
    <xf numFmtId="3" fontId="0" fillId="0" borderId="5" xfId="0" applyNumberFormat="1" applyFont="1" applyFill="1" applyBorder="1"/>
    <xf numFmtId="0" fontId="0" fillId="0" borderId="25" xfId="0" applyFont="1" applyFill="1" applyBorder="1"/>
    <xf numFmtId="0" fontId="0" fillId="0" borderId="26" xfId="0" applyFont="1" applyFill="1" applyBorder="1"/>
    <xf numFmtId="0" fontId="0" fillId="0" borderId="4" xfId="0" applyBorder="1" applyAlignment="1"/>
    <xf numFmtId="0" fontId="0" fillId="0" borderId="7" xfId="0" applyFill="1" applyBorder="1"/>
    <xf numFmtId="0" fontId="0" fillId="0" borderId="22" xfId="0" applyBorder="1"/>
    <xf numFmtId="0" fontId="0" fillId="0" borderId="33" xfId="0" applyBorder="1"/>
    <xf numFmtId="0" fontId="0" fillId="0" borderId="6" xfId="0" applyBorder="1"/>
    <xf numFmtId="0" fontId="0" fillId="4" borderId="1" xfId="0" applyFill="1" applyBorder="1"/>
    <xf numFmtId="0" fontId="0" fillId="5" borderId="4" xfId="0" applyFill="1" applyBorder="1"/>
    <xf numFmtId="0" fontId="10" fillId="0" borderId="0" xfId="0" applyFont="1" applyFill="1" applyBorder="1"/>
    <xf numFmtId="0" fontId="0" fillId="0" borderId="7" xfId="0" applyBorder="1"/>
    <xf numFmtId="0" fontId="10" fillId="0" borderId="10" xfId="0" applyFont="1" applyFill="1" applyBorder="1"/>
    <xf numFmtId="0" fontId="4" fillId="4" borderId="32" xfId="0" applyFont="1" applyFill="1" applyBorder="1"/>
    <xf numFmtId="0" fontId="4" fillId="4" borderId="32" xfId="0" applyFont="1" applyFill="1" applyBorder="1" applyAlignment="1">
      <alignment wrapText="1"/>
    </xf>
    <xf numFmtId="0" fontId="4" fillId="9" borderId="29" xfId="0" applyFont="1" applyFill="1" applyBorder="1"/>
    <xf numFmtId="0" fontId="0" fillId="9" borderId="33" xfId="0" applyFill="1" applyBorder="1"/>
    <xf numFmtId="0" fontId="4" fillId="9" borderId="22" xfId="0" applyFont="1" applyFill="1" applyBorder="1" applyAlignment="1">
      <alignment wrapText="1"/>
    </xf>
    <xf numFmtId="0" fontId="4" fillId="9" borderId="33" xfId="0" applyFont="1" applyFill="1" applyBorder="1" applyAlignment="1">
      <alignment wrapText="1"/>
    </xf>
    <xf numFmtId="0" fontId="4" fillId="9" borderId="22" xfId="0" applyFont="1" applyFill="1" applyBorder="1"/>
    <xf numFmtId="0" fontId="0" fillId="0" borderId="33" xfId="0" applyFill="1" applyBorder="1"/>
    <xf numFmtId="0" fontId="0" fillId="11" borderId="13" xfId="0" applyFill="1" applyBorder="1"/>
    <xf numFmtId="3" fontId="0" fillId="11" borderId="13" xfId="0" applyNumberFormat="1" applyFill="1" applyBorder="1"/>
    <xf numFmtId="0" fontId="0" fillId="5" borderId="6" xfId="0" applyFill="1" applyBorder="1"/>
    <xf numFmtId="0" fontId="4" fillId="9" borderId="30" xfId="0" applyFont="1" applyFill="1" applyBorder="1"/>
    <xf numFmtId="0" fontId="0" fillId="9" borderId="32" xfId="0" applyFill="1" applyBorder="1"/>
    <xf numFmtId="0" fontId="0" fillId="9" borderId="12" xfId="0" applyFill="1" applyBorder="1"/>
    <xf numFmtId="0" fontId="2" fillId="9" borderId="12" xfId="0" applyFont="1" applyFill="1" applyBorder="1"/>
    <xf numFmtId="0" fontId="15" fillId="9" borderId="32" xfId="0" applyFont="1" applyFill="1" applyBorder="1"/>
    <xf numFmtId="0" fontId="15" fillId="9" borderId="12" xfId="0" applyFont="1" applyFill="1" applyBorder="1"/>
    <xf numFmtId="0" fontId="4" fillId="9" borderId="32" xfId="0" applyFont="1" applyFill="1" applyBorder="1"/>
    <xf numFmtId="0" fontId="4" fillId="4" borderId="31" xfId="0" applyFont="1" applyFill="1" applyBorder="1" applyAlignment="1">
      <alignment wrapText="1"/>
    </xf>
    <xf numFmtId="0" fontId="7" fillId="0" borderId="0" xfId="0" applyFont="1" applyFill="1" applyBorder="1"/>
    <xf numFmtId="3" fontId="0" fillId="0" borderId="4" xfId="0" applyNumberFormat="1" applyBorder="1" applyAlignment="1"/>
    <xf numFmtId="0" fontId="0" fillId="5" borderId="12" xfId="0" applyFont="1" applyFill="1" applyBorder="1" applyProtection="1">
      <protection locked="0"/>
    </xf>
    <xf numFmtId="0" fontId="0" fillId="5" borderId="13" xfId="0" applyFont="1" applyFill="1" applyBorder="1" applyProtection="1">
      <protection locked="0"/>
    </xf>
    <xf numFmtId="0" fontId="0" fillId="5" borderId="11" xfId="0" applyFont="1" applyFill="1" applyBorder="1" applyProtection="1">
      <protection locked="0"/>
    </xf>
    <xf numFmtId="0" fontId="0" fillId="5" borderId="13" xfId="0" applyFill="1" applyBorder="1" applyAlignment="1" applyProtection="1">
      <alignment horizontal="right"/>
      <protection locked="0"/>
    </xf>
    <xf numFmtId="0" fontId="0" fillId="5" borderId="13" xfId="0" applyFill="1" applyBorder="1" applyProtection="1">
      <protection locked="0"/>
    </xf>
    <xf numFmtId="0" fontId="0" fillId="5" borderId="0" xfId="0" applyFill="1" applyBorder="1" applyProtection="1">
      <protection locked="0"/>
    </xf>
    <xf numFmtId="0" fontId="0" fillId="5" borderId="7" xfId="0" applyFill="1" applyBorder="1" applyProtection="1">
      <protection locked="0"/>
    </xf>
    <xf numFmtId="0" fontId="0" fillId="5" borderId="12" xfId="0" applyFill="1" applyBorder="1" applyProtection="1">
      <protection locked="0"/>
    </xf>
    <xf numFmtId="0" fontId="2" fillId="5" borderId="9" xfId="0" applyFont="1" applyFill="1" applyBorder="1" applyProtection="1">
      <protection locked="0"/>
    </xf>
    <xf numFmtId="0" fontId="2" fillId="5" borderId="14" xfId="0" applyFont="1" applyFill="1" applyBorder="1" applyProtection="1">
      <protection locked="0"/>
    </xf>
    <xf numFmtId="0" fontId="2" fillId="5" borderId="15" xfId="0" applyFont="1" applyFill="1" applyBorder="1" applyProtection="1">
      <protection locked="0"/>
    </xf>
    <xf numFmtId="0" fontId="0" fillId="5" borderId="12" xfId="1" applyNumberFormat="1" applyFont="1" applyFill="1" applyBorder="1" applyProtection="1">
      <protection locked="0"/>
    </xf>
    <xf numFmtId="3" fontId="0" fillId="5" borderId="13" xfId="0" applyNumberFormat="1" applyFill="1" applyBorder="1" applyProtection="1">
      <protection locked="0"/>
    </xf>
    <xf numFmtId="0" fontId="0" fillId="5" borderId="15" xfId="0" applyFill="1" applyBorder="1" applyProtection="1">
      <protection locked="0"/>
    </xf>
    <xf numFmtId="0" fontId="0" fillId="5" borderId="27" xfId="0" applyFill="1" applyBorder="1" applyProtection="1">
      <protection locked="0"/>
    </xf>
    <xf numFmtId="0" fontId="10" fillId="5" borderId="22" xfId="0" applyFont="1" applyFill="1" applyBorder="1" applyProtection="1">
      <protection locked="0"/>
    </xf>
    <xf numFmtId="0" fontId="10" fillId="5" borderId="13" xfId="0" applyFont="1" applyFill="1" applyBorder="1" applyProtection="1">
      <protection locked="0"/>
    </xf>
    <xf numFmtId="0" fontId="10" fillId="5" borderId="10" xfId="0" applyFont="1" applyFill="1" applyBorder="1" applyProtection="1">
      <protection locked="0"/>
    </xf>
    <xf numFmtId="0" fontId="7" fillId="0" borderId="0" xfId="0" applyFont="1"/>
    <xf numFmtId="0" fontId="0" fillId="5" borderId="33" xfId="0" applyFill="1" applyBorder="1"/>
    <xf numFmtId="0" fontId="0" fillId="5" borderId="22" xfId="0" applyFont="1" applyFill="1" applyBorder="1" applyProtection="1">
      <protection locked="0"/>
    </xf>
    <xf numFmtId="0" fontId="0" fillId="0" borderId="0" xfId="0" applyAlignment="1">
      <alignment wrapText="1"/>
    </xf>
    <xf numFmtId="0" fontId="0" fillId="0" borderId="0" xfId="0" applyAlignment="1">
      <alignment vertical="top"/>
    </xf>
    <xf numFmtId="0" fontId="4" fillId="0" borderId="0" xfId="0" applyFont="1" applyAlignment="1">
      <alignment vertical="top"/>
    </xf>
    <xf numFmtId="0" fontId="2" fillId="0" borderId="0" xfId="0" applyFont="1"/>
    <xf numFmtId="0" fontId="0" fillId="5" borderId="27" xfId="0" applyFill="1" applyBorder="1" applyAlignment="1" applyProtection="1">
      <alignment horizontal="right"/>
      <protection locked="0"/>
    </xf>
    <xf numFmtId="3" fontId="0" fillId="0" borderId="0" xfId="0" applyNumberFormat="1" applyFill="1" applyBorder="1" applyAlignment="1"/>
    <xf numFmtId="3" fontId="0" fillId="0" borderId="0" xfId="0" applyNumberFormat="1" applyFill="1" applyBorder="1"/>
    <xf numFmtId="0" fontId="0" fillId="0" borderId="41" xfId="0" applyBorder="1"/>
    <xf numFmtId="0" fontId="0" fillId="0" borderId="42" xfId="0" applyBorder="1"/>
    <xf numFmtId="3" fontId="4" fillId="0" borderId="0" xfId="0" applyNumberFormat="1" applyFont="1" applyFill="1" applyBorder="1"/>
    <xf numFmtId="3" fontId="0" fillId="2" borderId="4" xfId="0" applyNumberFormat="1" applyFill="1" applyBorder="1" applyAlignment="1"/>
    <xf numFmtId="3" fontId="4" fillId="7" borderId="6" xfId="0" applyNumberFormat="1" applyFont="1" applyFill="1" applyBorder="1" applyAlignment="1"/>
    <xf numFmtId="0" fontId="4" fillId="0" borderId="0" xfId="0" applyFont="1" applyFill="1" applyBorder="1" applyAlignment="1">
      <alignment vertical="center" wrapText="1"/>
    </xf>
    <xf numFmtId="3" fontId="0" fillId="0" borderId="5" xfId="0" applyNumberFormat="1" applyBorder="1" applyAlignment="1"/>
    <xf numFmtId="3" fontId="0" fillId="2" borderId="5" xfId="0" applyNumberFormat="1" applyFill="1" applyBorder="1" applyAlignment="1"/>
    <xf numFmtId="3" fontId="4" fillId="7" borderId="8" xfId="0" applyNumberFormat="1" applyFont="1" applyFill="1" applyBorder="1" applyAlignment="1">
      <alignment horizontal="right"/>
    </xf>
    <xf numFmtId="2" fontId="0" fillId="3" borderId="20" xfId="0" applyNumberFormat="1" applyFill="1" applyBorder="1" applyAlignment="1"/>
    <xf numFmtId="2" fontId="0" fillId="3" borderId="21" xfId="0" applyNumberFormat="1" applyFill="1" applyBorder="1" applyAlignment="1"/>
    <xf numFmtId="3" fontId="9" fillId="7" borderId="8" xfId="0" applyNumberFormat="1" applyFont="1" applyFill="1" applyBorder="1" applyAlignment="1">
      <alignment horizontal="right"/>
    </xf>
    <xf numFmtId="0" fontId="9" fillId="0" borderId="0" xfId="0" applyFont="1" applyFill="1" applyBorder="1" applyAlignment="1">
      <alignment vertical="center" wrapText="1"/>
    </xf>
    <xf numFmtId="3" fontId="2" fillId="0" borderId="0" xfId="0" applyNumberFormat="1" applyFont="1" applyFill="1" applyBorder="1" applyAlignment="1"/>
    <xf numFmtId="0" fontId="0" fillId="0" borderId="0" xfId="0" applyFill="1" applyBorder="1" applyAlignment="1"/>
    <xf numFmtId="0" fontId="2" fillId="0" borderId="0" xfId="0" applyFont="1" applyFill="1" applyBorder="1" applyAlignment="1"/>
    <xf numFmtId="3" fontId="9" fillId="0" borderId="0" xfId="0" applyNumberFormat="1" applyFont="1" applyFill="1" applyBorder="1" applyAlignment="1"/>
    <xf numFmtId="0" fontId="0" fillId="0" borderId="4" xfId="0" applyBorder="1" applyAlignment="1">
      <alignment horizontal="right"/>
    </xf>
    <xf numFmtId="3" fontId="2" fillId="0" borderId="4" xfId="0" applyNumberFormat="1" applyFont="1" applyBorder="1" applyAlignment="1">
      <alignment horizontal="right"/>
    </xf>
    <xf numFmtId="0" fontId="0" fillId="0" borderId="0" xfId="0" applyAlignment="1">
      <alignment horizontal="center"/>
    </xf>
    <xf numFmtId="0" fontId="22" fillId="0" borderId="5" xfId="0" applyFont="1" applyFill="1" applyBorder="1"/>
    <xf numFmtId="3" fontId="2" fillId="2" borderId="4" xfId="0" applyNumberFormat="1" applyFont="1" applyFill="1" applyBorder="1" applyAlignment="1">
      <alignment horizontal="right"/>
    </xf>
    <xf numFmtId="0" fontId="2" fillId="0" borderId="4" xfId="0" applyFont="1" applyBorder="1" applyAlignment="1">
      <alignment horizontal="right"/>
    </xf>
    <xf numFmtId="3" fontId="9" fillId="7" borderId="6" xfId="0" applyNumberFormat="1" applyFont="1" applyFill="1" applyBorder="1" applyAlignment="1">
      <alignment horizontal="right"/>
    </xf>
    <xf numFmtId="2" fontId="2" fillId="3" borderId="9" xfId="0" applyNumberFormat="1" applyFont="1" applyFill="1" applyBorder="1" applyAlignment="1"/>
    <xf numFmtId="2" fontId="2" fillId="3" borderId="13" xfId="0" applyNumberFormat="1" applyFont="1" applyFill="1" applyBorder="1" applyAlignment="1"/>
    <xf numFmtId="0" fontId="9" fillId="0" borderId="4" xfId="0" applyFont="1" applyFill="1" applyBorder="1" applyAlignment="1">
      <alignment vertical="center" wrapText="1"/>
    </xf>
    <xf numFmtId="3" fontId="2" fillId="0" borderId="4" xfId="0" applyNumberFormat="1" applyFont="1" applyFill="1" applyBorder="1" applyAlignment="1"/>
    <xf numFmtId="0" fontId="0" fillId="0" borderId="4" xfId="0" applyFill="1" applyBorder="1" applyAlignment="1">
      <alignment horizontal="right"/>
    </xf>
    <xf numFmtId="3" fontId="2" fillId="0" borderId="4" xfId="0" applyNumberFormat="1" applyFont="1" applyFill="1" applyBorder="1" applyAlignment="1">
      <alignment horizontal="right"/>
    </xf>
    <xf numFmtId="0" fontId="2" fillId="0" borderId="4" xfId="0" applyFont="1" applyFill="1" applyBorder="1" applyAlignment="1"/>
    <xf numFmtId="3" fontId="9" fillId="0" borderId="4" xfId="0" applyNumberFormat="1" applyFont="1" applyFill="1" applyBorder="1" applyAlignment="1">
      <alignment horizontal="right"/>
    </xf>
    <xf numFmtId="0" fontId="2" fillId="0" borderId="0" xfId="0" applyFont="1" applyFill="1"/>
    <xf numFmtId="0" fontId="0" fillId="0" borderId="0" xfId="0" applyFill="1" applyAlignment="1">
      <alignment vertical="top"/>
    </xf>
    <xf numFmtId="0" fontId="4" fillId="0" borderId="0" xfId="0" applyFont="1" applyFill="1" applyAlignment="1">
      <alignment vertical="top"/>
    </xf>
    <xf numFmtId="0" fontId="14" fillId="0" borderId="0" xfId="0" applyFont="1" applyFill="1"/>
    <xf numFmtId="0" fontId="2" fillId="0" borderId="0" xfId="0" applyFont="1" applyAlignment="1">
      <alignment wrapText="1"/>
    </xf>
    <xf numFmtId="0" fontId="0" fillId="7" borderId="35" xfId="0" applyFill="1" applyBorder="1" applyAlignment="1">
      <alignment horizontal="center" vertical="center"/>
    </xf>
    <xf numFmtId="0" fontId="24" fillId="12" borderId="35" xfId="0" applyFont="1" applyFill="1" applyBorder="1" applyAlignment="1">
      <alignment horizontal="center" vertical="center"/>
    </xf>
    <xf numFmtId="0" fontId="0" fillId="13" borderId="35" xfId="0" applyFill="1" applyBorder="1" applyAlignment="1">
      <alignment horizontal="center" vertical="center"/>
    </xf>
    <xf numFmtId="0" fontId="24" fillId="14" borderId="35" xfId="0" applyFont="1" applyFill="1" applyBorder="1" applyAlignment="1">
      <alignment horizontal="center" vertical="center"/>
    </xf>
    <xf numFmtId="0" fontId="24" fillId="15" borderId="35" xfId="0" applyFont="1" applyFill="1" applyBorder="1" applyAlignment="1">
      <alignment horizontal="center" vertical="center"/>
    </xf>
    <xf numFmtId="0" fontId="0" fillId="0" borderId="37" xfId="0" applyFill="1" applyBorder="1" applyAlignment="1">
      <alignment vertical="top"/>
    </xf>
    <xf numFmtId="0" fontId="24" fillId="0" borderId="37" xfId="0" applyFont="1" applyFill="1" applyBorder="1" applyAlignment="1">
      <alignment vertical="top"/>
    </xf>
    <xf numFmtId="0" fontId="0" fillId="0" borderId="0" xfId="0" applyFont="1" applyAlignment="1">
      <alignment vertical="top" wrapText="1"/>
    </xf>
    <xf numFmtId="0" fontId="0" fillId="0" borderId="39" xfId="0" quotePrefix="1" applyBorder="1" applyAlignment="1">
      <alignment vertical="center" wrapText="1"/>
    </xf>
    <xf numFmtId="0" fontId="0" fillId="3" borderId="0" xfId="0" applyFill="1" applyBorder="1"/>
    <xf numFmtId="0" fontId="0" fillId="0" borderId="0" xfId="0" applyBorder="1" applyAlignment="1">
      <alignment vertical="center"/>
    </xf>
    <xf numFmtId="0" fontId="6" fillId="16" borderId="0" xfId="0" applyFont="1" applyFill="1"/>
    <xf numFmtId="0" fontId="0" fillId="16" borderId="0" xfId="0" applyFill="1"/>
    <xf numFmtId="0" fontId="4" fillId="16" borderId="0" xfId="0" applyFont="1" applyFill="1"/>
    <xf numFmtId="0" fontId="0" fillId="17" borderId="13" xfId="0" applyFont="1" applyFill="1" applyBorder="1" applyProtection="1">
      <protection locked="0"/>
    </xf>
    <xf numFmtId="0" fontId="0" fillId="17" borderId="40" xfId="0" applyFill="1" applyBorder="1"/>
    <xf numFmtId="0" fontId="0" fillId="0" borderId="0" xfId="0" applyFont="1" applyAlignment="1">
      <alignment vertical="top" wrapText="1"/>
    </xf>
    <xf numFmtId="0" fontId="0" fillId="0" borderId="1" xfId="0" quotePrefix="1" applyFill="1" applyBorder="1"/>
    <xf numFmtId="3" fontId="0" fillId="0" borderId="1" xfId="0" applyNumberFormat="1" applyFill="1" applyBorder="1" applyAlignment="1"/>
    <xf numFmtId="3" fontId="0" fillId="0" borderId="3" xfId="0" applyNumberFormat="1" applyFill="1" applyBorder="1" applyAlignment="1"/>
    <xf numFmtId="3" fontId="0" fillId="0" borderId="38" xfId="0" applyNumberFormat="1" applyFill="1" applyBorder="1" applyAlignment="1"/>
    <xf numFmtId="0" fontId="0" fillId="0" borderId="38" xfId="0" quotePrefix="1" applyFill="1" applyBorder="1"/>
    <xf numFmtId="0" fontId="4" fillId="7" borderId="6" xfId="0" quotePrefix="1" applyFont="1" applyFill="1" applyBorder="1"/>
    <xf numFmtId="3" fontId="2" fillId="0" borderId="3" xfId="0" applyNumberFormat="1" applyFont="1" applyFill="1" applyBorder="1" applyAlignment="1"/>
    <xf numFmtId="3" fontId="2" fillId="0" borderId="38" xfId="0" applyNumberFormat="1" applyFont="1" applyFill="1" applyBorder="1" applyAlignment="1"/>
    <xf numFmtId="3" fontId="2" fillId="0" borderId="38" xfId="0" applyNumberFormat="1" applyFont="1" applyFill="1" applyBorder="1" applyAlignment="1">
      <alignment horizontal="right"/>
    </xf>
    <xf numFmtId="3" fontId="2" fillId="0" borderId="1" xfId="0" quotePrefix="1" applyNumberFormat="1" applyFont="1" applyFill="1" applyBorder="1" applyAlignment="1">
      <alignment horizontal="right"/>
    </xf>
    <xf numFmtId="0" fontId="0" fillId="0" borderId="10" xfId="0" quotePrefix="1" applyFill="1" applyBorder="1"/>
    <xf numFmtId="0" fontId="22" fillId="0" borderId="0" xfId="0" applyFont="1"/>
    <xf numFmtId="3" fontId="0" fillId="0" borderId="5" xfId="0" applyNumberFormat="1" applyFill="1" applyBorder="1"/>
    <xf numFmtId="3" fontId="0" fillId="0" borderId="28" xfId="0" applyNumberFormat="1" applyFill="1" applyBorder="1"/>
    <xf numFmtId="3" fontId="0" fillId="0" borderId="27" xfId="0" applyNumberFormat="1" applyFill="1" applyBorder="1"/>
    <xf numFmtId="3" fontId="0" fillId="0" borderId="8" xfId="0" applyNumberFormat="1" applyFill="1" applyBorder="1"/>
    <xf numFmtId="3" fontId="0" fillId="0" borderId="44" xfId="0" applyNumberFormat="1" applyFill="1" applyBorder="1"/>
    <xf numFmtId="3" fontId="4" fillId="7" borderId="31" xfId="0" applyNumberFormat="1" applyFont="1" applyFill="1" applyBorder="1"/>
    <xf numFmtId="0" fontId="0" fillId="0" borderId="15" xfId="0" applyBorder="1"/>
    <xf numFmtId="0" fontId="4" fillId="18" borderId="28" xfId="0" applyFont="1" applyFill="1" applyBorder="1" applyAlignment="1">
      <alignment wrapText="1"/>
    </xf>
    <xf numFmtId="3" fontId="4" fillId="18" borderId="31" xfId="0" applyNumberFormat="1" applyFont="1" applyFill="1" applyBorder="1"/>
    <xf numFmtId="3" fontId="0" fillId="18" borderId="31" xfId="0" applyNumberFormat="1" applyFill="1" applyBorder="1"/>
    <xf numFmtId="0" fontId="4" fillId="3" borderId="32" xfId="0" applyFont="1" applyFill="1" applyBorder="1"/>
    <xf numFmtId="0" fontId="4" fillId="3" borderId="12" xfId="0" applyFont="1" applyFill="1" applyBorder="1"/>
    <xf numFmtId="0" fontId="26" fillId="4" borderId="32" xfId="0" applyFont="1" applyFill="1" applyBorder="1" applyAlignment="1">
      <alignment wrapText="1"/>
    </xf>
    <xf numFmtId="0" fontId="26" fillId="4" borderId="12" xfId="0" applyFont="1" applyFill="1" applyBorder="1" applyAlignment="1">
      <alignment wrapText="1"/>
    </xf>
    <xf numFmtId="0" fontId="26" fillId="9" borderId="33" xfId="0" applyFont="1" applyFill="1" applyBorder="1"/>
    <xf numFmtId="0" fontId="26" fillId="9" borderId="22" xfId="0" applyFont="1" applyFill="1" applyBorder="1" applyAlignment="1">
      <alignment wrapText="1"/>
    </xf>
    <xf numFmtId="0" fontId="27" fillId="0" borderId="7" xfId="0" applyFont="1" applyBorder="1"/>
    <xf numFmtId="0" fontId="27" fillId="0" borderId="11" xfId="0" applyFont="1" applyBorder="1"/>
    <xf numFmtId="0" fontId="26" fillId="3" borderId="32" xfId="0" applyFont="1" applyFill="1" applyBorder="1"/>
    <xf numFmtId="0" fontId="26" fillId="3" borderId="12" xfId="0" applyFont="1" applyFill="1" applyBorder="1"/>
    <xf numFmtId="3" fontId="26" fillId="3" borderId="12" xfId="0" applyNumberFormat="1" applyFont="1" applyFill="1" applyBorder="1"/>
    <xf numFmtId="0" fontId="27" fillId="0" borderId="0" xfId="0" applyFont="1"/>
    <xf numFmtId="0" fontId="28" fillId="4" borderId="12" xfId="0" applyFont="1" applyFill="1" applyBorder="1" applyAlignment="1">
      <alignment wrapText="1"/>
    </xf>
    <xf numFmtId="0" fontId="28" fillId="9" borderId="22" xfId="0" applyFont="1" applyFill="1" applyBorder="1" applyAlignment="1">
      <alignment wrapText="1"/>
    </xf>
    <xf numFmtId="3" fontId="27" fillId="0" borderId="11" xfId="0" applyNumberFormat="1" applyFont="1" applyFill="1" applyBorder="1"/>
    <xf numFmtId="3" fontId="27" fillId="9" borderId="12" xfId="0" applyNumberFormat="1" applyFont="1" applyFill="1" applyBorder="1"/>
    <xf numFmtId="3" fontId="14" fillId="0" borderId="10" xfId="0" applyNumberFormat="1" applyFont="1" applyBorder="1"/>
    <xf numFmtId="3" fontId="14" fillId="0" borderId="11" xfId="0" applyNumberFormat="1" applyFont="1" applyBorder="1"/>
    <xf numFmtId="3" fontId="28" fillId="9" borderId="12" xfId="0" applyNumberFormat="1" applyFont="1" applyFill="1" applyBorder="1"/>
    <xf numFmtId="3" fontId="14" fillId="0" borderId="22" xfId="0" applyNumberFormat="1" applyFont="1" applyBorder="1"/>
    <xf numFmtId="3" fontId="14" fillId="9" borderId="12" xfId="0" applyNumberFormat="1" applyFont="1" applyFill="1" applyBorder="1"/>
    <xf numFmtId="3" fontId="28" fillId="3" borderId="12" xfId="0" applyNumberFormat="1" applyFont="1" applyFill="1" applyBorder="1"/>
    <xf numFmtId="3" fontId="27" fillId="0" borderId="11" xfId="0" applyNumberFormat="1" applyFont="1" applyBorder="1"/>
    <xf numFmtId="4" fontId="2" fillId="0" borderId="0" xfId="0" applyNumberFormat="1" applyFont="1" applyFill="1" applyAlignment="1"/>
    <xf numFmtId="164" fontId="0" fillId="0" borderId="0" xfId="0" applyNumberFormat="1"/>
    <xf numFmtId="2" fontId="19" fillId="0" borderId="2" xfId="0" applyNumberFormat="1" applyFont="1" applyFill="1" applyBorder="1"/>
    <xf numFmtId="2" fontId="19" fillId="0" borderId="9" xfId="0" applyNumberFormat="1" applyFont="1" applyFill="1" applyBorder="1"/>
    <xf numFmtId="3" fontId="0" fillId="3" borderId="11" xfId="0" applyNumberFormat="1" applyFill="1" applyBorder="1"/>
    <xf numFmtId="3" fontId="0" fillId="0" borderId="10" xfId="0" applyNumberFormat="1" applyBorder="1"/>
    <xf numFmtId="3" fontId="0" fillId="0" borderId="0" xfId="0" applyNumberFormat="1" applyBorder="1"/>
    <xf numFmtId="3" fontId="0" fillId="0" borderId="22" xfId="0" applyNumberFormat="1" applyBorder="1"/>
    <xf numFmtId="3" fontId="0" fillId="0" borderId="0" xfId="0" applyNumberFormat="1" applyBorder="1" applyAlignment="1">
      <alignment wrapText="1"/>
    </xf>
    <xf numFmtId="3" fontId="0" fillId="17" borderId="13" xfId="0" applyNumberFormat="1" applyFill="1" applyBorder="1" applyProtection="1">
      <protection locked="0"/>
    </xf>
    <xf numFmtId="3" fontId="27" fillId="0" borderId="0" xfId="0" applyNumberFormat="1" applyFont="1" applyBorder="1"/>
    <xf numFmtId="3" fontId="27" fillId="0" borderId="10" xfId="0" applyNumberFormat="1" applyFont="1" applyBorder="1"/>
    <xf numFmtId="3" fontId="27" fillId="0" borderId="13" xfId="0" applyNumberFormat="1" applyFont="1" applyFill="1" applyBorder="1"/>
    <xf numFmtId="3" fontId="27" fillId="0" borderId="0" xfId="0" applyNumberFormat="1" applyFont="1"/>
    <xf numFmtId="3" fontId="0" fillId="0" borderId="7" xfId="0" applyNumberFormat="1" applyBorder="1" applyAlignment="1">
      <alignment wrapText="1"/>
    </xf>
    <xf numFmtId="3" fontId="0" fillId="17" borderId="11" xfId="0" applyNumberFormat="1" applyFill="1" applyBorder="1" applyProtection="1">
      <protection locked="0"/>
    </xf>
    <xf numFmtId="3" fontId="27" fillId="0" borderId="7" xfId="0" applyNumberFormat="1" applyFont="1" applyBorder="1"/>
    <xf numFmtId="3" fontId="0" fillId="9" borderId="32" xfId="0" applyNumberFormat="1" applyFill="1" applyBorder="1" applyAlignment="1">
      <alignment wrapText="1"/>
    </xf>
    <xf numFmtId="3" fontId="0" fillId="9" borderId="12" xfId="0" applyNumberFormat="1" applyFill="1" applyBorder="1"/>
    <xf numFmtId="3" fontId="27" fillId="9" borderId="32" xfId="0" applyNumberFormat="1" applyFont="1" applyFill="1" applyBorder="1"/>
    <xf numFmtId="3" fontId="10" fillId="0" borderId="0" xfId="0" applyNumberFormat="1" applyFont="1" applyBorder="1"/>
    <xf numFmtId="3" fontId="27" fillId="10" borderId="10" xfId="0" applyNumberFormat="1" applyFont="1" applyFill="1" applyBorder="1"/>
    <xf numFmtId="3" fontId="27" fillId="10" borderId="22" xfId="0" applyNumberFormat="1" applyFont="1" applyFill="1" applyBorder="1"/>
    <xf numFmtId="3" fontId="27" fillId="0" borderId="22" xfId="0" applyNumberFormat="1" applyFont="1" applyFill="1" applyBorder="1"/>
    <xf numFmtId="3" fontId="27" fillId="0" borderId="10" xfId="0" applyNumberFormat="1" applyFont="1" applyFill="1" applyBorder="1"/>
    <xf numFmtId="3" fontId="15" fillId="9" borderId="32" xfId="0" applyNumberFormat="1" applyFont="1" applyFill="1" applyBorder="1"/>
    <xf numFmtId="3" fontId="4" fillId="9" borderId="12" xfId="0" applyNumberFormat="1" applyFont="1" applyFill="1" applyBorder="1"/>
    <xf numFmtId="3" fontId="26" fillId="9" borderId="32" xfId="0" applyNumberFormat="1" applyFont="1" applyFill="1" applyBorder="1"/>
    <xf numFmtId="3" fontId="26" fillId="9" borderId="12" xfId="0" applyNumberFormat="1" applyFont="1" applyFill="1" applyBorder="1"/>
    <xf numFmtId="3" fontId="0" fillId="0" borderId="7" xfId="0" applyNumberFormat="1" applyBorder="1"/>
    <xf numFmtId="3" fontId="0" fillId="5" borderId="15" xfId="0" applyNumberFormat="1" applyFill="1" applyBorder="1" applyProtection="1">
      <protection locked="0"/>
    </xf>
    <xf numFmtId="3" fontId="4" fillId="9" borderId="32" xfId="0" applyNumberFormat="1" applyFont="1" applyFill="1" applyBorder="1"/>
    <xf numFmtId="3" fontId="4" fillId="0" borderId="0" xfId="0" applyNumberFormat="1" applyFont="1"/>
    <xf numFmtId="3" fontId="26" fillId="0" borderId="0" xfId="0" applyNumberFormat="1" applyFont="1"/>
    <xf numFmtId="3" fontId="0" fillId="0" borderId="10" xfId="0" applyNumberFormat="1" applyFill="1" applyBorder="1"/>
    <xf numFmtId="3" fontId="27" fillId="0" borderId="0" xfId="0" applyNumberFormat="1" applyFont="1" applyFill="1" applyBorder="1"/>
    <xf numFmtId="3" fontId="27" fillId="10" borderId="13" xfId="0" applyNumberFormat="1" applyFont="1" applyFill="1" applyBorder="1"/>
    <xf numFmtId="3" fontId="0" fillId="0" borderId="33" xfId="0" applyNumberFormat="1" applyBorder="1"/>
    <xf numFmtId="3" fontId="27" fillId="0" borderId="33" xfId="0" applyNumberFormat="1" applyFont="1" applyBorder="1"/>
    <xf numFmtId="3" fontId="27" fillId="0" borderId="22" xfId="0" applyNumberFormat="1" applyFont="1" applyBorder="1"/>
    <xf numFmtId="3" fontId="0" fillId="0" borderId="11" xfId="0" applyNumberFormat="1" applyFill="1" applyBorder="1" applyProtection="1">
      <protection locked="0"/>
    </xf>
    <xf numFmtId="3" fontId="0" fillId="9" borderId="32" xfId="0" applyNumberFormat="1" applyFill="1" applyBorder="1"/>
    <xf numFmtId="3" fontId="0" fillId="0" borderId="13" xfId="0" applyNumberFormat="1" applyBorder="1"/>
    <xf numFmtId="3" fontId="0" fillId="5" borderId="11" xfId="0" applyNumberFormat="1" applyFill="1" applyBorder="1" applyProtection="1">
      <protection locked="0"/>
    </xf>
    <xf numFmtId="3" fontId="27" fillId="0" borderId="7" xfId="0" applyNumberFormat="1" applyFont="1" applyFill="1" applyBorder="1"/>
    <xf numFmtId="3" fontId="27" fillId="0" borderId="15" xfId="0" applyNumberFormat="1" applyFont="1" applyFill="1" applyBorder="1"/>
    <xf numFmtId="2" fontId="2" fillId="0" borderId="13" xfId="0" applyNumberFormat="1" applyFont="1" applyFill="1" applyBorder="1" applyAlignment="1">
      <alignment horizontal="center"/>
    </xf>
    <xf numFmtId="2" fontId="0" fillId="3" borderId="45" xfId="0" applyNumberFormat="1" applyFill="1" applyBorder="1" applyAlignment="1"/>
    <xf numFmtId="0" fontId="0" fillId="0" borderId="46" xfId="0" applyBorder="1"/>
    <xf numFmtId="0" fontId="5" fillId="7" borderId="0" xfId="0" applyFont="1" applyFill="1"/>
    <xf numFmtId="0" fontId="0" fillId="7" borderId="0" xfId="0" applyFill="1"/>
    <xf numFmtId="0" fontId="17" fillId="0" borderId="0" xfId="0" applyFont="1"/>
    <xf numFmtId="0" fontId="24" fillId="0" borderId="0" xfId="0" applyFont="1"/>
    <xf numFmtId="0" fontId="30" fillId="12" borderId="0" xfId="0" applyFont="1" applyFill="1"/>
    <xf numFmtId="0" fontId="13" fillId="12" borderId="0" xfId="0" applyFont="1" applyFill="1"/>
    <xf numFmtId="0" fontId="30" fillId="19" borderId="0" xfId="0" applyFont="1" applyFill="1"/>
    <xf numFmtId="0" fontId="0" fillId="19" borderId="0" xfId="0" applyFill="1"/>
    <xf numFmtId="0" fontId="4" fillId="3" borderId="30" xfId="0" applyFont="1" applyFill="1" applyBorder="1"/>
    <xf numFmtId="165" fontId="0" fillId="0" borderId="0" xfId="0" applyNumberFormat="1"/>
    <xf numFmtId="165" fontId="12" fillId="13" borderId="0" xfId="0" applyNumberFormat="1" applyFont="1" applyFill="1"/>
    <xf numFmtId="165" fontId="1" fillId="13" borderId="0" xfId="0" applyNumberFormat="1" applyFont="1" applyFill="1"/>
    <xf numFmtId="165" fontId="0" fillId="13" borderId="0" xfId="0" applyNumberFormat="1" applyFill="1"/>
    <xf numFmtId="165" fontId="13" fillId="0" borderId="0" xfId="0" applyNumberFormat="1" applyFont="1"/>
    <xf numFmtId="165" fontId="12" fillId="0" borderId="0" xfId="0" applyNumberFormat="1" applyFont="1"/>
    <xf numFmtId="165" fontId="1" fillId="0" borderId="0" xfId="0" applyNumberFormat="1" applyFont="1"/>
    <xf numFmtId="165" fontId="4" fillId="8" borderId="0" xfId="0" applyNumberFormat="1" applyFont="1" applyFill="1"/>
    <xf numFmtId="165" fontId="0" fillId="8" borderId="0" xfId="0" applyNumberFormat="1" applyFill="1"/>
    <xf numFmtId="165" fontId="9" fillId="4" borderId="1" xfId="0" applyNumberFormat="1" applyFont="1" applyFill="1" applyBorder="1"/>
    <xf numFmtId="165" fontId="9" fillId="4" borderId="3" xfId="0" applyNumberFormat="1" applyFont="1" applyFill="1" applyBorder="1"/>
    <xf numFmtId="165" fontId="4" fillId="4" borderId="9" xfId="0" applyNumberFormat="1" applyFont="1" applyFill="1" applyBorder="1" applyAlignment="1">
      <alignment wrapText="1"/>
    </xf>
    <xf numFmtId="165" fontId="4" fillId="4" borderId="9" xfId="0" applyNumberFormat="1" applyFont="1" applyFill="1" applyBorder="1"/>
    <xf numFmtId="165" fontId="4" fillId="4" borderId="2" xfId="0" applyNumberFormat="1" applyFont="1" applyFill="1" applyBorder="1"/>
    <xf numFmtId="165" fontId="4" fillId="4" borderId="3" xfId="0" applyNumberFormat="1" applyFont="1" applyFill="1" applyBorder="1" applyAlignment="1">
      <alignment wrapText="1"/>
    </xf>
    <xf numFmtId="165" fontId="0" fillId="0" borderId="4" xfId="0" applyNumberFormat="1" applyBorder="1"/>
    <xf numFmtId="165" fontId="0" fillId="0" borderId="5" xfId="0" applyNumberFormat="1" applyBorder="1"/>
    <xf numFmtId="165" fontId="0" fillId="0" borderId="10" xfId="0" applyNumberFormat="1" applyBorder="1"/>
    <xf numFmtId="165" fontId="0" fillId="5" borderId="28" xfId="0" applyNumberFormat="1" applyFill="1" applyBorder="1" applyProtection="1">
      <protection locked="0"/>
    </xf>
    <xf numFmtId="165" fontId="0" fillId="0" borderId="36" xfId="0" applyNumberFormat="1" applyBorder="1"/>
    <xf numFmtId="165" fontId="0" fillId="0" borderId="4" xfId="0" applyNumberFormat="1" applyBorder="1" applyAlignment="1"/>
    <xf numFmtId="165" fontId="0" fillId="0" borderId="28" xfId="0" applyNumberFormat="1" applyBorder="1"/>
    <xf numFmtId="165" fontId="0" fillId="5" borderId="27" xfId="0" applyNumberFormat="1" applyFill="1" applyBorder="1" applyProtection="1">
      <protection locked="0"/>
    </xf>
    <xf numFmtId="165" fontId="0" fillId="3" borderId="6" xfId="0" applyNumberFormat="1" applyFill="1" applyBorder="1"/>
    <xf numFmtId="165" fontId="0" fillId="3" borderId="8" xfId="0" applyNumberFormat="1" applyFill="1" applyBorder="1"/>
    <xf numFmtId="165" fontId="0" fillId="3" borderId="11" xfId="0" applyNumberFormat="1" applyFill="1" applyBorder="1"/>
    <xf numFmtId="165" fontId="0" fillId="0" borderId="0" xfId="0" applyNumberFormat="1" applyFill="1" applyBorder="1"/>
    <xf numFmtId="165" fontId="0" fillId="0" borderId="2" xfId="0" applyNumberFormat="1" applyFill="1" applyBorder="1"/>
    <xf numFmtId="165" fontId="0" fillId="0" borderId="0" xfId="0" applyNumberFormat="1" applyFill="1"/>
    <xf numFmtId="165" fontId="0" fillId="0" borderId="0" xfId="0" applyNumberFormat="1" applyBorder="1"/>
    <xf numFmtId="165" fontId="4" fillId="8" borderId="0" xfId="0" applyNumberFormat="1" applyFont="1" applyFill="1" applyBorder="1"/>
    <xf numFmtId="165" fontId="2" fillId="8" borderId="7" xfId="0" applyNumberFormat="1" applyFont="1" applyFill="1" applyBorder="1"/>
    <xf numFmtId="165" fontId="0" fillId="0" borderId="7" xfId="0" applyNumberFormat="1" applyFill="1" applyBorder="1"/>
    <xf numFmtId="165" fontId="0" fillId="0" borderId="1" xfId="0" applyNumberFormat="1" applyBorder="1"/>
    <xf numFmtId="165" fontId="0" fillId="0" borderId="31" xfId="0" applyNumberFormat="1" applyBorder="1"/>
    <xf numFmtId="165" fontId="0" fillId="0" borderId="2" xfId="0" applyNumberFormat="1" applyBorder="1"/>
    <xf numFmtId="165" fontId="0" fillId="0" borderId="9" xfId="0" applyNumberFormat="1" applyBorder="1"/>
    <xf numFmtId="165" fontId="0" fillId="0" borderId="3" xfId="0" applyNumberFormat="1" applyBorder="1"/>
    <xf numFmtId="165" fontId="0" fillId="0" borderId="29" xfId="0" applyNumberFormat="1" applyBorder="1"/>
    <xf numFmtId="165" fontId="0" fillId="0" borderId="22" xfId="0" applyNumberFormat="1" applyBorder="1"/>
    <xf numFmtId="165" fontId="4" fillId="6" borderId="37" xfId="0" applyNumberFormat="1" applyFont="1" applyFill="1" applyBorder="1"/>
    <xf numFmtId="165" fontId="4" fillId="6" borderId="38" xfId="0" applyNumberFormat="1" applyFont="1" applyFill="1" applyBorder="1"/>
    <xf numFmtId="165" fontId="4" fillId="6" borderId="35" xfId="0" applyNumberFormat="1" applyFont="1" applyFill="1" applyBorder="1"/>
    <xf numFmtId="165" fontId="9" fillId="0" borderId="0" xfId="0" applyNumberFormat="1" applyFont="1"/>
    <xf numFmtId="165" fontId="2" fillId="0" borderId="3" xfId="0" applyNumberFormat="1" applyFont="1" applyBorder="1" applyAlignment="1">
      <alignment horizontal="right"/>
    </xf>
    <xf numFmtId="165" fontId="20" fillId="0" borderId="0" xfId="0" applyNumberFormat="1" applyFont="1"/>
    <xf numFmtId="165" fontId="19" fillId="0" borderId="4" xfId="0" applyNumberFormat="1" applyFont="1" applyBorder="1"/>
    <xf numFmtId="165" fontId="19" fillId="0" borderId="0" xfId="0" applyNumberFormat="1" applyFont="1" applyBorder="1"/>
    <xf numFmtId="165" fontId="19" fillId="0" borderId="0" xfId="0" applyNumberFormat="1" applyFont="1" applyFill="1" applyBorder="1"/>
    <xf numFmtId="165" fontId="19" fillId="0" borderId="10" xfId="0" applyNumberFormat="1" applyFont="1" applyFill="1" applyBorder="1"/>
    <xf numFmtId="165" fontId="19" fillId="0" borderId="5" xfId="0" applyNumberFormat="1" applyFont="1" applyBorder="1"/>
    <xf numFmtId="165" fontId="2" fillId="3" borderId="6" xfId="0" applyNumberFormat="1" applyFont="1" applyFill="1" applyBorder="1"/>
    <xf numFmtId="165" fontId="2" fillId="3" borderId="7" xfId="0" applyNumberFormat="1" applyFont="1" applyFill="1" applyBorder="1"/>
    <xf numFmtId="165" fontId="2" fillId="3" borderId="11" xfId="0" applyNumberFormat="1" applyFont="1" applyFill="1" applyBorder="1"/>
    <xf numFmtId="165" fontId="7" fillId="0" borderId="0" xfId="0" applyNumberFormat="1" applyFont="1" applyFill="1"/>
    <xf numFmtId="165" fontId="14" fillId="0" borderId="0" xfId="0" applyNumberFormat="1" applyFont="1"/>
    <xf numFmtId="166" fontId="0" fillId="0" borderId="0" xfId="2" applyNumberFormat="1" applyFont="1"/>
    <xf numFmtId="166" fontId="9" fillId="0" borderId="0" xfId="2" applyNumberFormat="1" applyFont="1"/>
    <xf numFmtId="166" fontId="20" fillId="0" borderId="0" xfId="2" applyNumberFormat="1" applyFont="1"/>
    <xf numFmtId="166" fontId="14" fillId="0" borderId="0" xfId="2" applyNumberFormat="1" applyFont="1"/>
    <xf numFmtId="43" fontId="0" fillId="0" borderId="1" xfId="2" applyNumberFormat="1" applyFont="1" applyBorder="1"/>
    <xf numFmtId="43" fontId="0" fillId="0" borderId="2" xfId="2" applyNumberFormat="1" applyFont="1" applyBorder="1"/>
    <xf numFmtId="43" fontId="0" fillId="0" borderId="9" xfId="2" applyNumberFormat="1" applyFont="1" applyBorder="1"/>
    <xf numFmtId="43" fontId="2" fillId="0" borderId="3" xfId="2" applyNumberFormat="1" applyFont="1" applyBorder="1" applyAlignment="1">
      <alignment horizontal="right"/>
    </xf>
    <xf numFmtId="43" fontId="19" fillId="0" borderId="4" xfId="2" applyNumberFormat="1" applyFont="1" applyBorder="1"/>
    <xf numFmtId="43" fontId="19" fillId="0" borderId="0" xfId="2" applyNumberFormat="1" applyFont="1" applyBorder="1"/>
    <xf numFmtId="43" fontId="19" fillId="0" borderId="10" xfId="2" applyNumberFormat="1" applyFont="1" applyFill="1" applyBorder="1"/>
    <xf numFmtId="43" fontId="19" fillId="0" borderId="0" xfId="2" applyNumberFormat="1" applyFont="1" applyFill="1" applyBorder="1"/>
    <xf numFmtId="43" fontId="19" fillId="0" borderId="5" xfId="2" applyNumberFormat="1" applyFont="1" applyBorder="1"/>
    <xf numFmtId="43" fontId="2" fillId="3" borderId="6" xfId="2" applyNumberFormat="1" applyFont="1" applyFill="1" applyBorder="1"/>
    <xf numFmtId="43" fontId="2" fillId="3" borderId="7" xfId="2" applyNumberFormat="1" applyFont="1" applyFill="1" applyBorder="1"/>
    <xf numFmtId="43" fontId="2" fillId="3" borderId="11" xfId="2" applyNumberFormat="1" applyFont="1" applyFill="1" applyBorder="1"/>
    <xf numFmtId="43" fontId="2" fillId="3" borderId="8" xfId="2" applyNumberFormat="1" applyFont="1" applyFill="1" applyBorder="1"/>
    <xf numFmtId="167" fontId="24" fillId="0" borderId="0" xfId="2" applyNumberFormat="1" applyFont="1"/>
    <xf numFmtId="167" fontId="30" fillId="14" borderId="0" xfId="2" applyNumberFormat="1" applyFont="1" applyFill="1"/>
    <xf numFmtId="167" fontId="24" fillId="14" borderId="0" xfId="2" applyNumberFormat="1" applyFont="1" applyFill="1"/>
    <xf numFmtId="167" fontId="0" fillId="0" borderId="0" xfId="2" applyNumberFormat="1" applyFont="1"/>
    <xf numFmtId="167" fontId="13" fillId="0" borderId="0" xfId="2" applyNumberFormat="1" applyFont="1"/>
    <xf numFmtId="167" fontId="5" fillId="0" borderId="0" xfId="2" applyNumberFormat="1" applyFont="1"/>
    <xf numFmtId="167" fontId="4" fillId="8" borderId="0" xfId="2" applyNumberFormat="1" applyFont="1" applyFill="1"/>
    <xf numFmtId="167" fontId="9" fillId="4" borderId="30" xfId="2" applyNumberFormat="1" applyFont="1" applyFill="1" applyBorder="1"/>
    <xf numFmtId="167" fontId="4" fillId="4" borderId="3" xfId="2" applyNumberFormat="1" applyFont="1" applyFill="1" applyBorder="1" applyAlignment="1">
      <alignment wrapText="1"/>
    </xf>
    <xf numFmtId="167" fontId="4" fillId="4" borderId="12" xfId="2" applyNumberFormat="1" applyFont="1" applyFill="1" applyBorder="1"/>
    <xf numFmtId="167" fontId="4" fillId="4" borderId="31" xfId="2" applyNumberFormat="1" applyFont="1" applyFill="1" applyBorder="1"/>
    <xf numFmtId="167" fontId="4" fillId="4" borderId="32" xfId="2" applyNumberFormat="1" applyFont="1" applyFill="1" applyBorder="1"/>
    <xf numFmtId="167" fontId="4" fillId="4" borderId="12" xfId="2" applyNumberFormat="1" applyFont="1" applyFill="1" applyBorder="1" applyAlignment="1">
      <alignment wrapText="1"/>
    </xf>
    <xf numFmtId="167" fontId="4" fillId="4" borderId="31" xfId="2" applyNumberFormat="1" applyFont="1" applyFill="1" applyBorder="1" applyAlignment="1">
      <alignment wrapText="1"/>
    </xf>
    <xf numFmtId="167" fontId="0" fillId="0" borderId="4" xfId="2" applyNumberFormat="1" applyFont="1" applyBorder="1"/>
    <xf numFmtId="167" fontId="0" fillId="0" borderId="0" xfId="2" applyNumberFormat="1" applyFont="1" applyBorder="1"/>
    <xf numFmtId="167" fontId="0" fillId="0" borderId="29" xfId="2" applyNumberFormat="1" applyFont="1" applyBorder="1"/>
    <xf numFmtId="167" fontId="0" fillId="3" borderId="6" xfId="2" applyNumberFormat="1" applyFont="1" applyFill="1" applyBorder="1"/>
    <xf numFmtId="167" fontId="0" fillId="3" borderId="8" xfId="2" applyNumberFormat="1" applyFont="1" applyFill="1" applyBorder="1"/>
    <xf numFmtId="167" fontId="0" fillId="0" borderId="0" xfId="2" applyNumberFormat="1" applyFont="1" applyFill="1" applyBorder="1"/>
    <xf numFmtId="167" fontId="4" fillId="8" borderId="0" xfId="2" applyNumberFormat="1" applyFont="1" applyFill="1" applyBorder="1"/>
    <xf numFmtId="167" fontId="4" fillId="0" borderId="0" xfId="2" applyNumberFormat="1" applyFont="1" applyFill="1" applyBorder="1"/>
    <xf numFmtId="167" fontId="4" fillId="4" borderId="30" xfId="2" applyNumberFormat="1" applyFont="1" applyFill="1" applyBorder="1"/>
    <xf numFmtId="167" fontId="0" fillId="3" borderId="34" xfId="2" applyNumberFormat="1" applyFont="1" applyFill="1" applyBorder="1"/>
    <xf numFmtId="167" fontId="4" fillId="6" borderId="37" xfId="2" applyNumberFormat="1" applyFont="1" applyFill="1" applyBorder="1"/>
    <xf numFmtId="167" fontId="4" fillId="6" borderId="39" xfId="2" applyNumberFormat="1" applyFont="1" applyFill="1" applyBorder="1"/>
    <xf numFmtId="167" fontId="4" fillId="6" borderId="35" xfId="2" applyNumberFormat="1" applyFont="1" applyFill="1" applyBorder="1"/>
    <xf numFmtId="167" fontId="0" fillId="0" borderId="0" xfId="2" applyNumberFormat="1" applyFont="1" applyFill="1"/>
    <xf numFmtId="167" fontId="4" fillId="0" borderId="0" xfId="2" applyNumberFormat="1" applyFont="1" applyFill="1"/>
    <xf numFmtId="167" fontId="0" fillId="0" borderId="9" xfId="2" applyNumberFormat="1" applyFont="1" applyBorder="1"/>
    <xf numFmtId="167" fontId="0" fillId="0" borderId="3" xfId="2" applyNumberFormat="1" applyFont="1" applyBorder="1"/>
    <xf numFmtId="167" fontId="0" fillId="0" borderId="11" xfId="2" applyNumberFormat="1" applyFont="1" applyBorder="1"/>
    <xf numFmtId="167" fontId="0" fillId="0" borderId="8" xfId="2" applyNumberFormat="1" applyFont="1" applyBorder="1"/>
    <xf numFmtId="0" fontId="31" fillId="0" borderId="0" xfId="0" applyFont="1"/>
    <xf numFmtId="0" fontId="4" fillId="4" borderId="28" xfId="0" applyFont="1" applyFill="1" applyBorder="1" applyAlignment="1">
      <alignment wrapText="1"/>
    </xf>
    <xf numFmtId="0" fontId="32" fillId="0" borderId="0" xfId="0" applyFont="1"/>
    <xf numFmtId="0" fontId="33" fillId="0" borderId="0" xfId="3"/>
    <xf numFmtId="165" fontId="0" fillId="5" borderId="5" xfId="0" applyNumberFormat="1" applyFill="1" applyBorder="1" applyProtection="1">
      <protection locked="0"/>
    </xf>
    <xf numFmtId="0" fontId="0" fillId="5" borderId="5" xfId="0" applyFill="1" applyBorder="1" applyProtection="1">
      <protection locked="0"/>
    </xf>
    <xf numFmtId="0" fontId="2" fillId="0" borderId="43" xfId="0" applyFont="1" applyBorder="1"/>
    <xf numFmtId="0" fontId="2" fillId="0" borderId="17" xfId="0" applyFont="1" applyBorder="1"/>
    <xf numFmtId="0" fontId="2" fillId="0" borderId="10" xfId="0" applyFont="1" applyBorder="1"/>
    <xf numFmtId="2" fontId="2" fillId="3" borderId="21" xfId="0" applyNumberFormat="1" applyFont="1" applyFill="1" applyBorder="1" applyAlignment="1"/>
    <xf numFmtId="2" fontId="2" fillId="3" borderId="45" xfId="0" applyNumberFormat="1" applyFont="1" applyFill="1" applyBorder="1" applyAlignment="1"/>
    <xf numFmtId="0" fontId="2" fillId="0" borderId="46" xfId="0" applyFont="1" applyBorder="1"/>
    <xf numFmtId="3" fontId="0" fillId="5" borderId="14" xfId="0" applyNumberFormat="1" applyFill="1" applyBorder="1" applyProtection="1">
      <protection locked="0"/>
    </xf>
    <xf numFmtId="0" fontId="0" fillId="0" borderId="0" xfId="0" applyAlignment="1">
      <alignment wrapText="1"/>
    </xf>
    <xf numFmtId="0" fontId="2" fillId="0" borderId="0" xfId="0" applyFont="1" applyAlignment="1">
      <alignment wrapText="1"/>
    </xf>
    <xf numFmtId="0" fontId="0" fillId="0" borderId="0" xfId="0" applyFont="1" applyAlignment="1">
      <alignment vertical="top"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 fillId="0" borderId="1" xfId="0" applyFont="1" applyFill="1" applyBorder="1"/>
    <xf numFmtId="0" fontId="2" fillId="0" borderId="3" xfId="0" applyFont="1" applyFill="1" applyBorder="1"/>
    <xf numFmtId="0" fontId="2" fillId="0" borderId="4" xfId="0" applyFont="1" applyFill="1" applyBorder="1"/>
    <xf numFmtId="0" fontId="2" fillId="0" borderId="5" xfId="0" applyFont="1" applyFill="1" applyBorder="1"/>
    <xf numFmtId="0" fontId="2" fillId="0" borderId="6" xfId="0" applyFont="1" applyFill="1" applyBorder="1"/>
    <xf numFmtId="0" fontId="2" fillId="0" borderId="8" xfId="0" applyFont="1" applyFill="1" applyBorder="1"/>
  </cellXfs>
  <cellStyles count="4">
    <cellStyle name="Komma" xfId="2" builtinId="3"/>
    <cellStyle name="Link" xfId="3" builtinId="8"/>
    <cellStyle name="Prozent" xfId="1" builtinId="5"/>
    <cellStyle name="Standard" xfId="0" builtinId="0"/>
  </cellStyles>
  <dxfs count="16">
    <dxf>
      <font>
        <color rgb="FFFF0000"/>
      </font>
      <fill>
        <patternFill>
          <bgColor rgb="FFFFCCCC"/>
        </patternFill>
      </fill>
    </dxf>
    <dxf>
      <font>
        <color rgb="FFFF0000"/>
      </font>
      <fill>
        <patternFill patternType="none">
          <bgColor auto="1"/>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dxf>
    <dxf>
      <font>
        <color rgb="FFFF0000"/>
      </font>
    </dxf>
    <dxf>
      <font>
        <color rgb="FFFF0000"/>
      </font>
    </dxf>
    <dxf>
      <fill>
        <patternFill>
          <fgColor rgb="FFE3FBD6"/>
        </patternFill>
      </fill>
    </dxf>
    <dxf>
      <fill>
        <patternFill>
          <fgColor rgb="FFFF3F3F"/>
          <bgColor rgb="FFFF5353"/>
        </patternFill>
      </fill>
    </dxf>
    <dxf>
      <fill>
        <patternFill>
          <fgColor rgb="FFFF3F3F"/>
          <bgColor rgb="FFFF5353"/>
        </patternFill>
      </fill>
    </dxf>
    <dxf>
      <font>
        <color rgb="FFC00000"/>
      </font>
    </dxf>
    <dxf>
      <font>
        <color rgb="FFC00000"/>
      </font>
    </dxf>
    <dxf>
      <font>
        <color rgb="FFFF0000"/>
      </font>
      <fill>
        <patternFill patternType="none">
          <bgColor auto="1"/>
        </patternFill>
      </fill>
    </dxf>
    <dxf>
      <fill>
        <patternFill>
          <bgColor rgb="FFFF3F3F"/>
        </patternFill>
      </fill>
    </dxf>
    <dxf>
      <font>
        <color rgb="FFC00000"/>
      </font>
    </dxf>
  </dxfs>
  <tableStyles count="0" defaultTableStyle="TableStyleMedium2" defaultPivotStyle="PivotStyleLight16"/>
  <colors>
    <mruColors>
      <color rgb="FFFFCCCC"/>
      <color rgb="FFC7E98F"/>
      <color rgb="FFFBE3C9"/>
      <color rgb="FFF9EACB"/>
      <color rgb="FFFCEAD6"/>
      <color rgb="FFD3EEA8"/>
      <color rgb="FF82BB25"/>
      <color rgb="FF98D632"/>
      <color rgb="FFE3FBD6"/>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echentabelle!$A3" lockText="1" noThreeD="1"/>
</file>

<file path=xl/ctrlProps/ctrlProp10.xml><?xml version="1.0" encoding="utf-8"?>
<formControlPr xmlns="http://schemas.microsoft.com/office/spreadsheetml/2009/9/main" objectType="CheckBox" fmlaLink="Rechentabelle!$A$13" lockText="1" noThreeD="1"/>
</file>

<file path=xl/ctrlProps/ctrlProp11.xml><?xml version="1.0" encoding="utf-8"?>
<formControlPr xmlns="http://schemas.microsoft.com/office/spreadsheetml/2009/9/main" objectType="CheckBox" fmlaLink="Rechentabelle!$A$14" lockText="1" noThreeD="1"/>
</file>

<file path=xl/ctrlProps/ctrlProp12.xml><?xml version="1.0" encoding="utf-8"?>
<formControlPr xmlns="http://schemas.microsoft.com/office/spreadsheetml/2009/9/main" objectType="CheckBox" fmlaLink="Rechentabelle!$A$15" lockText="1" noThreeD="1"/>
</file>

<file path=xl/ctrlProps/ctrlProp13.xml><?xml version="1.0" encoding="utf-8"?>
<formControlPr xmlns="http://schemas.microsoft.com/office/spreadsheetml/2009/9/main" objectType="CheckBox" fmlaLink="Rechentabelle!$A$16" lockText="1" noThreeD="1"/>
</file>

<file path=xl/ctrlProps/ctrlProp14.xml><?xml version="1.0" encoding="utf-8"?>
<formControlPr xmlns="http://schemas.microsoft.com/office/spreadsheetml/2009/9/main" objectType="CheckBox" fmlaLink="Rechentabelle!$A$17" lockText="1" noThreeD="1"/>
</file>

<file path=xl/ctrlProps/ctrlProp15.xml><?xml version="1.0" encoding="utf-8"?>
<formControlPr xmlns="http://schemas.microsoft.com/office/spreadsheetml/2009/9/main" objectType="CheckBox" fmlaLink="Rechentabelle!$A$18" lockText="1" noThreeD="1"/>
</file>

<file path=xl/ctrlProps/ctrlProp16.xml><?xml version="1.0" encoding="utf-8"?>
<formControlPr xmlns="http://schemas.microsoft.com/office/spreadsheetml/2009/9/main" objectType="CheckBox" fmlaLink="Rechentabelle!$A$19" lockText="1" noThreeD="1"/>
</file>

<file path=xl/ctrlProps/ctrlProp17.xml><?xml version="1.0" encoding="utf-8"?>
<formControlPr xmlns="http://schemas.microsoft.com/office/spreadsheetml/2009/9/main" objectType="CheckBox" fmlaLink="Rechentabelle!$A$20" lockText="1" noThreeD="1"/>
</file>

<file path=xl/ctrlProps/ctrlProp18.xml><?xml version="1.0" encoding="utf-8"?>
<formControlPr xmlns="http://schemas.microsoft.com/office/spreadsheetml/2009/9/main" objectType="CheckBox" fmlaLink="Rechentabelle!$A$21" lockText="1" noThreeD="1"/>
</file>

<file path=xl/ctrlProps/ctrlProp19.xml><?xml version="1.0" encoding="utf-8"?>
<formControlPr xmlns="http://schemas.microsoft.com/office/spreadsheetml/2009/9/main" objectType="CheckBox" checked="Checked" fmlaLink="Rechentabelle!$A$2"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fmlaLink="Rechentabelle!$A4" lockText="1" noThreeD="1"/>
</file>

<file path=xl/ctrlProps/ctrlProp21.xml><?xml version="1.0" encoding="utf-8"?>
<formControlPr xmlns="http://schemas.microsoft.com/office/spreadsheetml/2009/9/main" objectType="CheckBox" fmlaLink="Rechentabelle!A5" lockText="1" noThreeD="1"/>
</file>

<file path=xl/ctrlProps/ctrlProp22.xml><?xml version="1.0" encoding="utf-8"?>
<formControlPr xmlns="http://schemas.microsoft.com/office/spreadsheetml/2009/9/main" objectType="CheckBox" fmlaLink="Rechentabelle!$A$22" lockText="1" noThreeD="1"/>
</file>

<file path=xl/ctrlProps/ctrlProp23.xml><?xml version="1.0" encoding="utf-8"?>
<formControlPr xmlns="http://schemas.microsoft.com/office/spreadsheetml/2009/9/main" objectType="CheckBox" fmlaLink="Rechentabelle!$A$23" lockText="1" noThreeD="1"/>
</file>

<file path=xl/ctrlProps/ctrlProp3.xml><?xml version="1.0" encoding="utf-8"?>
<formControlPr xmlns="http://schemas.microsoft.com/office/spreadsheetml/2009/9/main" objectType="CheckBox" fmlaLink="Rechentabelle!$A$6" lockText="1" noThreeD="1"/>
</file>

<file path=xl/ctrlProps/ctrlProp4.xml><?xml version="1.0" encoding="utf-8"?>
<formControlPr xmlns="http://schemas.microsoft.com/office/spreadsheetml/2009/9/main" objectType="CheckBox" fmlaLink="Rechentabelle!$A7" lockText="1" noThreeD="1"/>
</file>

<file path=xl/ctrlProps/ctrlProp5.xml><?xml version="1.0" encoding="utf-8"?>
<formControlPr xmlns="http://schemas.microsoft.com/office/spreadsheetml/2009/9/main" objectType="CheckBox" fmlaLink="Rechentabelle!$A$8" lockText="1" noThreeD="1"/>
</file>

<file path=xl/ctrlProps/ctrlProp6.xml><?xml version="1.0" encoding="utf-8"?>
<formControlPr xmlns="http://schemas.microsoft.com/office/spreadsheetml/2009/9/main" objectType="CheckBox" fmlaLink="Rechentabelle!$A$9" lockText="1" noThreeD="1"/>
</file>

<file path=xl/ctrlProps/ctrlProp7.xml><?xml version="1.0" encoding="utf-8"?>
<formControlPr xmlns="http://schemas.microsoft.com/office/spreadsheetml/2009/9/main" objectType="CheckBox" fmlaLink="Rechentabelle!$A$10" lockText="1" noThreeD="1"/>
</file>

<file path=xl/ctrlProps/ctrlProp8.xml><?xml version="1.0" encoding="utf-8"?>
<formControlPr xmlns="http://schemas.microsoft.com/office/spreadsheetml/2009/9/main" objectType="CheckBox" fmlaLink="Rechentabelle!$A$11" lockText="1" noThreeD="1"/>
</file>

<file path=xl/ctrlProps/ctrlProp9.xml><?xml version="1.0" encoding="utf-8"?>
<formControlPr xmlns="http://schemas.microsoft.com/office/spreadsheetml/2009/9/main" objectType="CheckBox" fmlaLink="Rechentabelle!$A$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5882640</xdr:colOff>
      <xdr:row>47</xdr:row>
      <xdr:rowOff>76200</xdr:rowOff>
    </xdr:from>
    <xdr:to>
      <xdr:col>3</xdr:col>
      <xdr:colOff>6763000</xdr:colOff>
      <xdr:row>49</xdr:row>
      <xdr:rowOff>169170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63740" y="11285220"/>
          <a:ext cx="870835" cy="451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350520</xdr:colOff>
      <xdr:row>47</xdr:row>
      <xdr:rowOff>68580</xdr:rowOff>
    </xdr:from>
    <xdr:to>
      <xdr:col>9</xdr:col>
      <xdr:colOff>230755</xdr:colOff>
      <xdr:row>49</xdr:row>
      <xdr:rowOff>153931</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0" y="8663940"/>
          <a:ext cx="870835" cy="451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335280</xdr:colOff>
      <xdr:row>42</xdr:row>
      <xdr:rowOff>106680</xdr:rowOff>
    </xdr:from>
    <xdr:to>
      <xdr:col>9</xdr:col>
      <xdr:colOff>85975</xdr:colOff>
      <xdr:row>44</xdr:row>
      <xdr:rowOff>176790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3680" y="8046720"/>
          <a:ext cx="870835" cy="4511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320040</xdr:colOff>
      <xdr:row>35</xdr:row>
      <xdr:rowOff>15240</xdr:rowOff>
    </xdr:from>
    <xdr:to>
      <xdr:col>10</xdr:col>
      <xdr:colOff>1190875</xdr:colOff>
      <xdr:row>37</xdr:row>
      <xdr:rowOff>100590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9620" y="6461760"/>
          <a:ext cx="870835" cy="451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205740</xdr:colOff>
      <xdr:row>34</xdr:row>
      <xdr:rowOff>30480</xdr:rowOff>
    </xdr:from>
    <xdr:to>
      <xdr:col>9</xdr:col>
      <xdr:colOff>1076575</xdr:colOff>
      <xdr:row>36</xdr:row>
      <xdr:rowOff>115830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2380" y="6339840"/>
          <a:ext cx="870835" cy="4511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6</xdr:row>
          <xdr:rowOff>7620</xdr:rowOff>
        </xdr:from>
        <xdr:to>
          <xdr:col>1</xdr:col>
          <xdr:colOff>251460</xdr:colOff>
          <xdr:row>6</xdr:row>
          <xdr:rowOff>175260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7620</xdr:rowOff>
        </xdr:from>
        <xdr:to>
          <xdr:col>1</xdr:col>
          <xdr:colOff>251460</xdr:colOff>
          <xdr:row>7</xdr:row>
          <xdr:rowOff>175260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10</xdr:row>
          <xdr:rowOff>7620</xdr:rowOff>
        </xdr:from>
        <xdr:to>
          <xdr:col>1</xdr:col>
          <xdr:colOff>251460</xdr:colOff>
          <xdr:row>10</xdr:row>
          <xdr:rowOff>175260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11</xdr:row>
          <xdr:rowOff>7620</xdr:rowOff>
        </xdr:from>
        <xdr:to>
          <xdr:col>1</xdr:col>
          <xdr:colOff>251460</xdr:colOff>
          <xdr:row>11</xdr:row>
          <xdr:rowOff>175260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12</xdr:row>
          <xdr:rowOff>7620</xdr:rowOff>
        </xdr:from>
        <xdr:to>
          <xdr:col>1</xdr:col>
          <xdr:colOff>251460</xdr:colOff>
          <xdr:row>12</xdr:row>
          <xdr:rowOff>175260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13</xdr:row>
          <xdr:rowOff>7620</xdr:rowOff>
        </xdr:from>
        <xdr:to>
          <xdr:col>1</xdr:col>
          <xdr:colOff>251460</xdr:colOff>
          <xdr:row>13</xdr:row>
          <xdr:rowOff>175260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14</xdr:row>
          <xdr:rowOff>7620</xdr:rowOff>
        </xdr:from>
        <xdr:to>
          <xdr:col>1</xdr:col>
          <xdr:colOff>251460</xdr:colOff>
          <xdr:row>14</xdr:row>
          <xdr:rowOff>175260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15</xdr:row>
          <xdr:rowOff>7620</xdr:rowOff>
        </xdr:from>
        <xdr:to>
          <xdr:col>1</xdr:col>
          <xdr:colOff>251460</xdr:colOff>
          <xdr:row>15</xdr:row>
          <xdr:rowOff>175260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16</xdr:row>
          <xdr:rowOff>7620</xdr:rowOff>
        </xdr:from>
        <xdr:to>
          <xdr:col>1</xdr:col>
          <xdr:colOff>251460</xdr:colOff>
          <xdr:row>16</xdr:row>
          <xdr:rowOff>175260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18</xdr:row>
          <xdr:rowOff>7620</xdr:rowOff>
        </xdr:from>
        <xdr:to>
          <xdr:col>1</xdr:col>
          <xdr:colOff>251460</xdr:colOff>
          <xdr:row>18</xdr:row>
          <xdr:rowOff>175260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19</xdr:row>
          <xdr:rowOff>0</xdr:rowOff>
        </xdr:from>
        <xdr:to>
          <xdr:col>1</xdr:col>
          <xdr:colOff>251460</xdr:colOff>
          <xdr:row>19</xdr:row>
          <xdr:rowOff>167640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21</xdr:row>
          <xdr:rowOff>7620</xdr:rowOff>
        </xdr:from>
        <xdr:to>
          <xdr:col>1</xdr:col>
          <xdr:colOff>251460</xdr:colOff>
          <xdr:row>21</xdr:row>
          <xdr:rowOff>175260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22</xdr:row>
          <xdr:rowOff>7620</xdr:rowOff>
        </xdr:from>
        <xdr:to>
          <xdr:col>1</xdr:col>
          <xdr:colOff>251460</xdr:colOff>
          <xdr:row>22</xdr:row>
          <xdr:rowOff>175260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23</xdr:row>
          <xdr:rowOff>7620</xdr:rowOff>
        </xdr:from>
        <xdr:to>
          <xdr:col>1</xdr:col>
          <xdr:colOff>251460</xdr:colOff>
          <xdr:row>23</xdr:row>
          <xdr:rowOff>175260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24</xdr:row>
          <xdr:rowOff>7620</xdr:rowOff>
        </xdr:from>
        <xdr:to>
          <xdr:col>1</xdr:col>
          <xdr:colOff>251460</xdr:colOff>
          <xdr:row>24</xdr:row>
          <xdr:rowOff>175260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25</xdr:row>
          <xdr:rowOff>7620</xdr:rowOff>
        </xdr:from>
        <xdr:to>
          <xdr:col>1</xdr:col>
          <xdr:colOff>251460</xdr:colOff>
          <xdr:row>25</xdr:row>
          <xdr:rowOff>175260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26</xdr:row>
          <xdr:rowOff>0</xdr:rowOff>
        </xdr:from>
        <xdr:to>
          <xdr:col>1</xdr:col>
          <xdr:colOff>251460</xdr:colOff>
          <xdr:row>26</xdr:row>
          <xdr:rowOff>167640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29</xdr:row>
          <xdr:rowOff>0</xdr:rowOff>
        </xdr:from>
        <xdr:to>
          <xdr:col>1</xdr:col>
          <xdr:colOff>251460</xdr:colOff>
          <xdr:row>29</xdr:row>
          <xdr:rowOff>167640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7620</xdr:rowOff>
        </xdr:from>
        <xdr:to>
          <xdr:col>1</xdr:col>
          <xdr:colOff>251460</xdr:colOff>
          <xdr:row>7</xdr:row>
          <xdr:rowOff>175260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7</xdr:row>
          <xdr:rowOff>7620</xdr:rowOff>
        </xdr:from>
        <xdr:to>
          <xdr:col>1</xdr:col>
          <xdr:colOff>251460</xdr:colOff>
          <xdr:row>7</xdr:row>
          <xdr:rowOff>175260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8</xdr:row>
          <xdr:rowOff>22860</xdr:rowOff>
        </xdr:from>
        <xdr:to>
          <xdr:col>1</xdr:col>
          <xdr:colOff>251460</xdr:colOff>
          <xdr:row>9</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30</xdr:row>
          <xdr:rowOff>7620</xdr:rowOff>
        </xdr:from>
        <xdr:to>
          <xdr:col>1</xdr:col>
          <xdr:colOff>251460</xdr:colOff>
          <xdr:row>30</xdr:row>
          <xdr:rowOff>175260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525780</xdr:colOff>
      <xdr:row>33</xdr:row>
      <xdr:rowOff>38100</xdr:rowOff>
    </xdr:from>
    <xdr:to>
      <xdr:col>14</xdr:col>
      <xdr:colOff>17395</xdr:colOff>
      <xdr:row>35</xdr:row>
      <xdr:rowOff>123450</xdr:rowOff>
    </xdr:to>
    <xdr:pic>
      <xdr:nvPicPr>
        <xdr:cNvPr id="52" name="Grafik 51">
          <a:extLst>
            <a:ext uri="{FF2B5EF4-FFF2-40B4-BE49-F238E27FC236}">
              <a16:creationId xmlns:a16="http://schemas.microsoft.com/office/drawing/2014/main" id="{00000000-0008-0000-05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90960" y="5935980"/>
          <a:ext cx="870835" cy="4511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68580</xdr:colOff>
          <xdr:row>27</xdr:row>
          <xdr:rowOff>7620</xdr:rowOff>
        </xdr:from>
        <xdr:to>
          <xdr:col>1</xdr:col>
          <xdr:colOff>251460</xdr:colOff>
          <xdr:row>27</xdr:row>
          <xdr:rowOff>175260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melf.bayern.de/service/haftungsausschluss-links-und-verweise/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6.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6.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1115-768D-414E-87EB-3DD351DBB23B}">
  <sheetPr codeName="Tabelle7">
    <tabColor theme="0"/>
  </sheetPr>
  <dimension ref="A1:I50"/>
  <sheetViews>
    <sheetView showGridLines="0" tabSelected="1" zoomScale="90" zoomScaleNormal="90" workbookViewId="0"/>
  </sheetViews>
  <sheetFormatPr baseColWidth="10" defaultRowHeight="14.4" x14ac:dyDescent="0.3"/>
  <cols>
    <col min="1" max="1" width="3.5546875" style="26" customWidth="1"/>
    <col min="3" max="3" width="2.109375" style="6" customWidth="1"/>
    <col min="4" max="4" width="100.6640625" customWidth="1"/>
  </cols>
  <sheetData>
    <row r="1" spans="2:9" s="26" customFormat="1" ht="22.8" customHeight="1" x14ac:dyDescent="0.4">
      <c r="B1" s="214" t="s">
        <v>161</v>
      </c>
      <c r="C1" s="214"/>
      <c r="D1" s="215"/>
    </row>
    <row r="2" spans="2:9" s="26" customFormat="1" x14ac:dyDescent="0.3">
      <c r="B2" s="216" t="s">
        <v>153</v>
      </c>
      <c r="C2" s="215"/>
      <c r="D2" s="215"/>
    </row>
    <row r="3" spans="2:9" s="26" customFormat="1" x14ac:dyDescent="0.3">
      <c r="B3" s="215"/>
      <c r="C3" s="215"/>
      <c r="D3" s="215"/>
    </row>
    <row r="4" spans="2:9" s="26" customFormat="1" ht="56.4" customHeight="1" x14ac:dyDescent="0.3">
      <c r="B4" s="442" t="s">
        <v>162</v>
      </c>
      <c r="C4" s="442"/>
      <c r="D4" s="442"/>
      <c r="E4" s="159"/>
      <c r="F4" s="159"/>
    </row>
    <row r="5" spans="2:9" s="26" customFormat="1" ht="70.8" customHeight="1" x14ac:dyDescent="0.3">
      <c r="B5" s="442" t="s">
        <v>249</v>
      </c>
      <c r="C5" s="442"/>
      <c r="D5" s="442"/>
      <c r="E5" s="159"/>
      <c r="F5" s="159"/>
    </row>
    <row r="6" spans="2:9" s="26" customFormat="1" ht="21.6" customHeight="1" x14ac:dyDescent="0.3">
      <c r="B6" s="443" t="s">
        <v>163</v>
      </c>
      <c r="C6" s="443"/>
      <c r="D6" s="443"/>
      <c r="E6" s="202"/>
      <c r="F6" s="202"/>
    </row>
    <row r="7" spans="2:9" s="26" customFormat="1" x14ac:dyDescent="0.3">
      <c r="B7" s="162"/>
      <c r="C7" s="198"/>
    </row>
    <row r="8" spans="2:9" s="26" customFormat="1" x14ac:dyDescent="0.3">
      <c r="B8" s="18" t="s">
        <v>155</v>
      </c>
      <c r="C8" s="11"/>
    </row>
    <row r="9" spans="2:9" s="26" customFormat="1" ht="23.4" customHeight="1" x14ac:dyDescent="0.3">
      <c r="B9" s="157"/>
      <c r="C9" s="3"/>
      <c r="D9" s="213" t="s">
        <v>160</v>
      </c>
    </row>
    <row r="10" spans="2:9" s="26" customFormat="1" ht="23.4" customHeight="1" x14ac:dyDescent="0.3">
      <c r="B10" s="218"/>
      <c r="C10" s="3"/>
      <c r="D10" s="213" t="s">
        <v>156</v>
      </c>
    </row>
    <row r="11" spans="2:9" s="26" customFormat="1" ht="23.4" customHeight="1" x14ac:dyDescent="0.3">
      <c r="B11" s="212"/>
      <c r="C11" s="3"/>
      <c r="D11" s="213" t="s">
        <v>170</v>
      </c>
    </row>
    <row r="12" spans="2:9" s="26" customFormat="1" x14ac:dyDescent="0.3">
      <c r="C12" s="6"/>
      <c r="I12" s="7"/>
    </row>
    <row r="13" spans="2:9" s="26" customFormat="1" x14ac:dyDescent="0.3">
      <c r="B13" s="18" t="s">
        <v>169</v>
      </c>
      <c r="C13" s="11"/>
      <c r="G13" s="110"/>
    </row>
    <row r="14" spans="2:9" s="26" customFormat="1" x14ac:dyDescent="0.3">
      <c r="B14" s="26" t="s">
        <v>164</v>
      </c>
      <c r="C14" s="6"/>
    </row>
    <row r="15" spans="2:9" s="26" customFormat="1" ht="8.4" customHeight="1" x14ac:dyDescent="0.3">
      <c r="C15" s="6"/>
    </row>
    <row r="16" spans="2:9" s="26" customFormat="1" ht="36.6" customHeight="1" x14ac:dyDescent="0.3">
      <c r="B16" s="203" t="s">
        <v>157</v>
      </c>
      <c r="C16" s="208"/>
      <c r="D16" s="211" t="s">
        <v>171</v>
      </c>
    </row>
    <row r="17" spans="2:9" s="26" customFormat="1" ht="40.200000000000003" customHeight="1" x14ac:dyDescent="0.3">
      <c r="B17" s="204" t="s">
        <v>8</v>
      </c>
      <c r="C17" s="209"/>
      <c r="D17" s="211" t="s">
        <v>172</v>
      </c>
      <c r="F17" s="185"/>
    </row>
    <row r="18" spans="2:9" s="26" customFormat="1" ht="69.599999999999994" customHeight="1" x14ac:dyDescent="0.3">
      <c r="B18" s="205" t="s">
        <v>158</v>
      </c>
      <c r="C18" s="208"/>
      <c r="D18" s="211" t="s">
        <v>173</v>
      </c>
      <c r="I18" s="7"/>
    </row>
    <row r="19" spans="2:9" s="26" customFormat="1" ht="69.599999999999994" customHeight="1" x14ac:dyDescent="0.3">
      <c r="B19" s="206" t="s">
        <v>159</v>
      </c>
      <c r="C19" s="209"/>
      <c r="D19" s="211" t="s">
        <v>182</v>
      </c>
    </row>
    <row r="20" spans="2:9" s="26" customFormat="1" ht="50.4" customHeight="1" x14ac:dyDescent="0.3">
      <c r="B20" s="207" t="s">
        <v>34</v>
      </c>
      <c r="C20" s="209"/>
      <c r="D20" s="211" t="s">
        <v>242</v>
      </c>
    </row>
    <row r="21" spans="2:9" s="26" customFormat="1" x14ac:dyDescent="0.3">
      <c r="B21" s="160"/>
      <c r="C21" s="199"/>
      <c r="D21" s="160"/>
    </row>
    <row r="22" spans="2:9" s="26" customFormat="1" x14ac:dyDescent="0.3">
      <c r="B22" s="161" t="s">
        <v>94</v>
      </c>
      <c r="C22" s="200"/>
      <c r="D22" s="160"/>
    </row>
    <row r="23" spans="2:9" s="26" customFormat="1" ht="75.599999999999994" customHeight="1" x14ac:dyDescent="0.3">
      <c r="B23" s="444" t="s">
        <v>199</v>
      </c>
      <c r="C23" s="444"/>
      <c r="D23" s="444"/>
      <c r="E23" s="210"/>
      <c r="F23" s="210"/>
    </row>
    <row r="24" spans="2:9" s="26" customFormat="1" x14ac:dyDescent="0.3">
      <c r="B24" s="161"/>
      <c r="C24" s="200"/>
      <c r="D24" s="160"/>
    </row>
    <row r="25" spans="2:9" s="26" customFormat="1" x14ac:dyDescent="0.3">
      <c r="B25" s="161" t="s">
        <v>180</v>
      </c>
      <c r="C25" s="200"/>
      <c r="D25" s="160"/>
    </row>
    <row r="26" spans="2:9" s="26" customFormat="1" ht="33" customHeight="1" x14ac:dyDescent="0.3">
      <c r="B26" s="444" t="s">
        <v>181</v>
      </c>
      <c r="C26" s="444"/>
      <c r="D26" s="444"/>
      <c r="E26" s="219"/>
      <c r="F26" s="219"/>
    </row>
    <row r="27" spans="2:9" s="26" customFormat="1" x14ac:dyDescent="0.3">
      <c r="C27" s="6"/>
    </row>
    <row r="28" spans="2:9" s="26" customFormat="1" x14ac:dyDescent="0.3">
      <c r="B28" s="18" t="s">
        <v>208</v>
      </c>
      <c r="C28" s="6"/>
    </row>
    <row r="29" spans="2:9" s="26" customFormat="1" x14ac:dyDescent="0.3">
      <c r="B29" s="26" t="s">
        <v>210</v>
      </c>
      <c r="C29" s="6"/>
      <c r="D29" s="26" t="s">
        <v>216</v>
      </c>
    </row>
    <row r="30" spans="2:9" s="26" customFormat="1" x14ac:dyDescent="0.3">
      <c r="B30" s="26" t="s">
        <v>212</v>
      </c>
      <c r="C30" s="6"/>
      <c r="D30" s="26" t="s">
        <v>217</v>
      </c>
    </row>
    <row r="31" spans="2:9" s="26" customFormat="1" x14ac:dyDescent="0.3">
      <c r="B31" s="26" t="s">
        <v>32</v>
      </c>
      <c r="C31" s="6"/>
      <c r="D31" s="26" t="s">
        <v>218</v>
      </c>
    </row>
    <row r="32" spans="2:9" s="26" customFormat="1" x14ac:dyDescent="0.3">
      <c r="B32" s="26" t="s">
        <v>9</v>
      </c>
      <c r="C32" s="6"/>
      <c r="D32" s="26" t="s">
        <v>219</v>
      </c>
    </row>
    <row r="33" spans="2:6" s="26" customFormat="1" x14ac:dyDescent="0.3">
      <c r="B33" s="26" t="s">
        <v>213</v>
      </c>
      <c r="C33" s="6"/>
      <c r="D33" s="26" t="s">
        <v>220</v>
      </c>
    </row>
    <row r="34" spans="2:6" s="26" customFormat="1" x14ac:dyDescent="0.3">
      <c r="B34" s="26" t="s">
        <v>215</v>
      </c>
      <c r="C34" s="6"/>
      <c r="D34" s="26" t="s">
        <v>221</v>
      </c>
    </row>
    <row r="35" spans="2:6" s="26" customFormat="1" x14ac:dyDescent="0.3">
      <c r="B35" s="26" t="s">
        <v>4</v>
      </c>
      <c r="C35" s="6"/>
      <c r="D35" s="26" t="s">
        <v>222</v>
      </c>
    </row>
    <row r="36" spans="2:6" s="26" customFormat="1" x14ac:dyDescent="0.3">
      <c r="B36" s="26" t="s">
        <v>209</v>
      </c>
      <c r="C36" s="6"/>
      <c r="D36" s="26" t="s">
        <v>223</v>
      </c>
    </row>
    <row r="37" spans="2:6" s="26" customFormat="1" x14ac:dyDescent="0.3">
      <c r="B37" s="26" t="s">
        <v>214</v>
      </c>
      <c r="C37" s="6"/>
      <c r="D37" s="26" t="s">
        <v>224</v>
      </c>
    </row>
    <row r="38" spans="2:6" s="26" customFormat="1" x14ac:dyDescent="0.3">
      <c r="B38" s="26" t="s">
        <v>116</v>
      </c>
      <c r="C38" s="6"/>
      <c r="D38" s="26" t="s">
        <v>226</v>
      </c>
    </row>
    <row r="39" spans="2:6" s="26" customFormat="1" x14ac:dyDescent="0.3">
      <c r="B39" s="26" t="s">
        <v>114</v>
      </c>
      <c r="C39" s="6"/>
      <c r="D39" s="26" t="s">
        <v>234</v>
      </c>
    </row>
    <row r="40" spans="2:6" s="26" customFormat="1" x14ac:dyDescent="0.3">
      <c r="B40" s="26" t="s">
        <v>19</v>
      </c>
      <c r="C40" s="6"/>
      <c r="D40" s="26" t="s">
        <v>225</v>
      </c>
    </row>
    <row r="41" spans="2:6" s="26" customFormat="1" x14ac:dyDescent="0.3">
      <c r="B41" s="26" t="s">
        <v>115</v>
      </c>
      <c r="D41" s="26" t="s">
        <v>227</v>
      </c>
    </row>
    <row r="42" spans="2:6" s="26" customFormat="1" x14ac:dyDescent="0.3">
      <c r="C42" s="6"/>
    </row>
    <row r="43" spans="2:6" s="26" customFormat="1" x14ac:dyDescent="0.3">
      <c r="B43" s="18" t="s">
        <v>154</v>
      </c>
      <c r="C43" s="11"/>
      <c r="F43" s="156"/>
    </row>
    <row r="44" spans="2:6" s="26" customFormat="1" ht="153" customHeight="1" x14ac:dyDescent="0.3">
      <c r="B44" s="442" t="s">
        <v>243</v>
      </c>
      <c r="C44" s="442"/>
      <c r="D44" s="442"/>
    </row>
    <row r="45" spans="2:6" x14ac:dyDescent="0.3">
      <c r="B45" s="432" t="s">
        <v>244</v>
      </c>
    </row>
    <row r="46" spans="2:6" s="26" customFormat="1" x14ac:dyDescent="0.3">
      <c r="C46" s="6"/>
    </row>
    <row r="47" spans="2:6" ht="34.799999999999997" customHeight="1" x14ac:dyDescent="0.3">
      <c r="B47" s="443" t="s">
        <v>229</v>
      </c>
      <c r="C47" s="443"/>
      <c r="D47" s="443"/>
    </row>
    <row r="50" spans="2:3" x14ac:dyDescent="0.3">
      <c r="B50" s="17" t="str">
        <f>Übersicht!B50</f>
        <v>Erstellt: Clarissa Schmelzle, LfL - Agrarökologie und Biologischer Landbau IAB 4a, Version 2, Stand: 18.12.2024</v>
      </c>
      <c r="C50" s="201"/>
    </row>
  </sheetData>
  <sheetProtection algorithmName="SHA-512" hashValue="XkrQfkXogYebfZiEemH7mgAxW5X17SZBV/mKC1MBlzDG0Lx1ZxH5gYOybqwpjwb3Mjc9MIKzLD+nKhxgjoNf+A==" saltValue="H9qkJY+EmHjpJqGo+4GMbQ==" spinCount="100000" sheet="1" objects="1" scenarios="1"/>
  <mergeCells count="7">
    <mergeCell ref="B44:D44"/>
    <mergeCell ref="B47:D47"/>
    <mergeCell ref="B4:D4"/>
    <mergeCell ref="B5:D5"/>
    <mergeCell ref="B6:D6"/>
    <mergeCell ref="B23:D23"/>
    <mergeCell ref="B26:D26"/>
  </mergeCells>
  <hyperlinks>
    <hyperlink ref="B45" r:id="rId1" xr:uid="{DFB3E9F0-3477-433A-A233-0E95742B160B}"/>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5BB86-60CC-41D6-834F-B453351838EB}">
  <sheetPr codeName="Tabelle1">
    <tabColor theme="8" tint="0.59999389629810485"/>
  </sheetPr>
  <dimension ref="A1:L53"/>
  <sheetViews>
    <sheetView showGridLines="0" zoomScale="98" zoomScaleNormal="98" workbookViewId="0"/>
  </sheetViews>
  <sheetFormatPr baseColWidth="10" defaultRowHeight="14.4" x14ac:dyDescent="0.3"/>
  <cols>
    <col min="1" max="1" width="2.109375" style="26" customWidth="1"/>
    <col min="2" max="2" width="33" customWidth="1"/>
    <col min="3" max="3" width="13.6640625" customWidth="1"/>
    <col min="4" max="4" width="10.6640625" customWidth="1"/>
    <col min="5" max="5" width="9.44140625" customWidth="1"/>
    <col min="6" max="6" width="13.88671875" style="26" customWidth="1"/>
    <col min="7" max="8" width="8" customWidth="1"/>
    <col min="9" max="9" width="6.44140625" customWidth="1"/>
  </cols>
  <sheetData>
    <row r="1" spans="2:11" s="26" customFormat="1" ht="18" x14ac:dyDescent="0.35">
      <c r="B1" s="314" t="s">
        <v>43</v>
      </c>
      <c r="C1" s="315"/>
      <c r="D1" s="316"/>
      <c r="E1" s="25" t="s">
        <v>119</v>
      </c>
      <c r="F1" s="9"/>
      <c r="G1" s="9"/>
      <c r="H1" s="9"/>
    </row>
    <row r="2" spans="2:11" s="3" customFormat="1" ht="13.2" customHeight="1" x14ac:dyDescent="0.4">
      <c r="B2" s="27"/>
      <c r="D2" s="28"/>
      <c r="E2" s="28"/>
      <c r="F2" s="28"/>
    </row>
    <row r="3" spans="2:11" x14ac:dyDescent="0.3">
      <c r="B3" s="10" t="s">
        <v>55</v>
      </c>
      <c r="F3" s="16" t="s">
        <v>94</v>
      </c>
    </row>
    <row r="4" spans="2:11" x14ac:dyDescent="0.3">
      <c r="B4" s="33" t="s">
        <v>15</v>
      </c>
      <c r="C4" s="145">
        <v>1</v>
      </c>
      <c r="D4" s="33" t="s">
        <v>4</v>
      </c>
      <c r="F4" s="449" t="s">
        <v>62</v>
      </c>
      <c r="G4" s="450"/>
      <c r="H4" s="146">
        <v>2</v>
      </c>
      <c r="I4" s="29" t="s">
        <v>19</v>
      </c>
    </row>
    <row r="5" spans="2:11" x14ac:dyDescent="0.3">
      <c r="B5" s="34" t="s">
        <v>16</v>
      </c>
      <c r="C5" s="142">
        <v>80</v>
      </c>
      <c r="D5" s="34" t="s">
        <v>19</v>
      </c>
      <c r="F5" s="451" t="s">
        <v>56</v>
      </c>
      <c r="G5" s="452"/>
      <c r="H5" s="147">
        <v>3</v>
      </c>
      <c r="I5" s="30" t="s">
        <v>19</v>
      </c>
    </row>
    <row r="6" spans="2:11" x14ac:dyDescent="0.3">
      <c r="B6" s="34" t="s">
        <v>17</v>
      </c>
      <c r="C6" s="125">
        <f>C5/C4</f>
        <v>80</v>
      </c>
      <c r="D6" s="34" t="s">
        <v>18</v>
      </c>
      <c r="F6" s="451" t="s">
        <v>57</v>
      </c>
      <c r="G6" s="452"/>
      <c r="H6" s="147">
        <v>5</v>
      </c>
      <c r="I6" s="30" t="s">
        <v>19</v>
      </c>
    </row>
    <row r="7" spans="2:11" x14ac:dyDescent="0.3">
      <c r="B7" s="32"/>
      <c r="C7" s="7"/>
      <c r="D7" s="32"/>
      <c r="F7" s="451" t="s">
        <v>58</v>
      </c>
      <c r="G7" s="452"/>
      <c r="H7" s="147">
        <v>10</v>
      </c>
      <c r="I7" s="30" t="s">
        <v>19</v>
      </c>
      <c r="K7" s="26"/>
    </row>
    <row r="8" spans="2:11" x14ac:dyDescent="0.3">
      <c r="B8" s="32" t="s">
        <v>61</v>
      </c>
      <c r="C8" s="141" t="s">
        <v>60</v>
      </c>
      <c r="D8" s="32"/>
      <c r="F8" s="453" t="s">
        <v>59</v>
      </c>
      <c r="G8" s="454"/>
      <c r="H8" s="148">
        <v>60</v>
      </c>
      <c r="I8" s="31" t="s">
        <v>19</v>
      </c>
    </row>
    <row r="9" spans="2:11" x14ac:dyDescent="0.3">
      <c r="B9" s="32" t="s">
        <v>44</v>
      </c>
      <c r="C9" s="142">
        <v>15</v>
      </c>
      <c r="D9" s="34" t="s">
        <v>6</v>
      </c>
      <c r="G9" s="186" t="s">
        <v>152</v>
      </c>
    </row>
    <row r="10" spans="2:11" x14ac:dyDescent="0.3">
      <c r="B10" s="32" t="s">
        <v>233</v>
      </c>
      <c r="C10" s="143">
        <v>0</v>
      </c>
      <c r="D10" s="34" t="s">
        <v>6</v>
      </c>
      <c r="G10" s="3"/>
      <c r="H10" s="4"/>
      <c r="I10" s="3"/>
    </row>
    <row r="11" spans="2:11" x14ac:dyDescent="0.3">
      <c r="B11" s="34" t="s">
        <v>48</v>
      </c>
      <c r="C11" s="142">
        <v>0</v>
      </c>
      <c r="D11" s="34" t="s">
        <v>32</v>
      </c>
      <c r="G11" s="3"/>
      <c r="H11" s="4"/>
      <c r="I11" s="3"/>
    </row>
    <row r="12" spans="2:11" x14ac:dyDescent="0.3">
      <c r="B12" s="36" t="s">
        <v>232</v>
      </c>
      <c r="C12" s="144">
        <v>0</v>
      </c>
      <c r="D12" s="36" t="s">
        <v>7</v>
      </c>
      <c r="G12" s="3"/>
      <c r="H12" s="4"/>
      <c r="I12" s="3"/>
    </row>
    <row r="13" spans="2:11" s="7" customFormat="1" x14ac:dyDescent="0.3">
      <c r="B13" s="3"/>
      <c r="C13" s="24"/>
      <c r="D13" s="3"/>
      <c r="G13" s="3"/>
      <c r="H13" s="4"/>
      <c r="I13" s="3"/>
    </row>
    <row r="14" spans="2:11" x14ac:dyDescent="0.3">
      <c r="B14" s="33" t="s">
        <v>63</v>
      </c>
      <c r="C14" s="149">
        <v>3</v>
      </c>
      <c r="D14" s="33" t="s">
        <v>5</v>
      </c>
      <c r="G14" s="3"/>
      <c r="H14" s="4"/>
      <c r="I14" s="3"/>
    </row>
    <row r="15" spans="2:11" x14ac:dyDescent="0.3">
      <c r="B15" s="34" t="s">
        <v>183</v>
      </c>
      <c r="C15" s="126">
        <f>Arbeitszeit!$E$29*Übersicht!$C$9+Kosten!$D$24+(Arbeitszeit!$F$29*Übersicht!$C$9+Kosten!$E$24)*5+(Arbeitszeit!$G$29*Übersicht!$C$9+Kosten!$F$24-Ertrag!E31)*5</f>
        <v>29022</v>
      </c>
      <c r="D15" s="34" t="s">
        <v>7</v>
      </c>
      <c r="F15" s="5"/>
      <c r="G15" s="3"/>
      <c r="H15" s="57"/>
      <c r="I15" s="3"/>
    </row>
    <row r="16" spans="2:11" s="26" customFormat="1" x14ac:dyDescent="0.3">
      <c r="B16" s="230" t="s">
        <v>206</v>
      </c>
      <c r="C16" s="126">
        <f>Kosten!$D$24+(Kosten!$E$24)*5+(Kosten!$F$24-Ertrag!E31)*5</f>
        <v>12200.8</v>
      </c>
      <c r="D16" s="32" t="s">
        <v>7</v>
      </c>
      <c r="G16" s="3"/>
      <c r="H16" s="57"/>
      <c r="I16" s="3"/>
    </row>
    <row r="17" spans="2:11" x14ac:dyDescent="0.3">
      <c r="B17" s="32" t="s">
        <v>47</v>
      </c>
      <c r="C17" s="150">
        <v>0</v>
      </c>
      <c r="D17" s="32" t="s">
        <v>7</v>
      </c>
      <c r="G17" s="3"/>
      <c r="H17" s="4"/>
      <c r="I17" s="3"/>
    </row>
    <row r="18" spans="2:11" s="26" customFormat="1" x14ac:dyDescent="0.3">
      <c r="B18" s="32" t="s">
        <v>250</v>
      </c>
      <c r="C18" s="441">
        <v>0</v>
      </c>
      <c r="D18" s="32" t="s">
        <v>251</v>
      </c>
      <c r="G18" s="3"/>
      <c r="H18" s="4"/>
      <c r="I18" s="3"/>
    </row>
    <row r="19" spans="2:11" x14ac:dyDescent="0.3">
      <c r="B19" s="35" t="s">
        <v>49</v>
      </c>
      <c r="C19" s="151">
        <v>0</v>
      </c>
      <c r="D19" s="35" t="s">
        <v>50</v>
      </c>
    </row>
    <row r="21" spans="2:11" x14ac:dyDescent="0.3">
      <c r="B21" s="10" t="s">
        <v>110</v>
      </c>
      <c r="E21" s="6"/>
      <c r="H21" s="7"/>
      <c r="J21" s="6"/>
    </row>
    <row r="22" spans="2:11" ht="30" customHeight="1" x14ac:dyDescent="0.3">
      <c r="B22" s="43"/>
      <c r="C22" s="445" t="s">
        <v>228</v>
      </c>
      <c r="D22" s="446"/>
      <c r="E22" s="171"/>
      <c r="F22" s="447" t="s">
        <v>94</v>
      </c>
      <c r="G22" s="448"/>
      <c r="H22" s="192"/>
      <c r="I22" s="178"/>
      <c r="J22" s="6"/>
    </row>
    <row r="23" spans="2:11" x14ac:dyDescent="0.3">
      <c r="B23" s="44" t="s">
        <v>8</v>
      </c>
      <c r="C23" s="137">
        <f>Ertrag!H31</f>
        <v>4305.6000000000004</v>
      </c>
      <c r="D23" s="172"/>
      <c r="E23" s="164"/>
      <c r="F23" s="184">
        <f>Ertrag!H42+Ertrag!H30</f>
        <v>4149.6000000000004</v>
      </c>
      <c r="G23" s="45"/>
      <c r="H23" s="193"/>
      <c r="I23" s="179"/>
      <c r="J23" s="38"/>
    </row>
    <row r="24" spans="2:11" x14ac:dyDescent="0.3">
      <c r="B24" s="46" t="s">
        <v>52</v>
      </c>
      <c r="C24" s="137">
        <f>Kosten!I24</f>
        <v>1355.68</v>
      </c>
      <c r="D24" s="172"/>
      <c r="E24" s="165"/>
      <c r="F24" s="184">
        <f>Kosten!I33</f>
        <v>1484.5050000000001</v>
      </c>
      <c r="G24" s="45"/>
      <c r="H24" s="193"/>
      <c r="I24" s="179"/>
      <c r="J24" s="38"/>
      <c r="K24" s="7"/>
    </row>
    <row r="25" spans="2:11" x14ac:dyDescent="0.3">
      <c r="B25" s="47" t="s">
        <v>53</v>
      </c>
      <c r="C25" s="169">
        <f>C23-C24</f>
        <v>2949.92</v>
      </c>
      <c r="D25" s="173"/>
      <c r="E25" s="165"/>
      <c r="F25" s="187">
        <f>F23-F24</f>
        <v>2665.0950000000003</v>
      </c>
      <c r="G25" s="48"/>
      <c r="H25" s="193"/>
      <c r="I25" s="179"/>
      <c r="J25" s="38"/>
    </row>
    <row r="26" spans="2:11" x14ac:dyDescent="0.3">
      <c r="B26" s="49" t="s">
        <v>236</v>
      </c>
      <c r="C26" s="137">
        <f>Kosten!C27</f>
        <v>0</v>
      </c>
      <c r="D26" s="172"/>
      <c r="E26" s="3"/>
      <c r="F26" s="183" t="s">
        <v>120</v>
      </c>
      <c r="G26" s="50"/>
      <c r="H26" s="194"/>
      <c r="I26" s="180"/>
      <c r="J26" s="39"/>
    </row>
    <row r="27" spans="2:11" x14ac:dyDescent="0.3">
      <c r="B27" s="49" t="s">
        <v>51</v>
      </c>
      <c r="C27" s="137">
        <f>Kosten!C28</f>
        <v>725.55</v>
      </c>
      <c r="D27" s="172"/>
      <c r="E27" s="3"/>
      <c r="F27" s="183" t="s">
        <v>120</v>
      </c>
      <c r="G27" s="50"/>
      <c r="H27" s="194"/>
      <c r="I27" s="180"/>
      <c r="J27" s="39"/>
    </row>
    <row r="28" spans="2:11" x14ac:dyDescent="0.3">
      <c r="B28" s="49" t="s">
        <v>245</v>
      </c>
      <c r="C28" s="137">
        <f>C12</f>
        <v>0</v>
      </c>
      <c r="D28" s="172"/>
      <c r="E28" s="3"/>
      <c r="F28" s="184">
        <f>C12</f>
        <v>0</v>
      </c>
      <c r="G28" s="45"/>
      <c r="H28" s="195"/>
      <c r="I28" s="179"/>
      <c r="J28" s="38"/>
    </row>
    <row r="29" spans="2:11" x14ac:dyDescent="0.3">
      <c r="B29" s="49" t="s">
        <v>211</v>
      </c>
      <c r="C29" s="137">
        <f>((C15/2*C14/100)*40+((C17/2*C14/100)*C18))/40</f>
        <v>435.33000000000004</v>
      </c>
      <c r="D29" s="172"/>
      <c r="E29" s="3"/>
      <c r="F29" s="183" t="s">
        <v>120</v>
      </c>
      <c r="G29" s="50"/>
      <c r="H29" s="194"/>
      <c r="I29" s="180"/>
      <c r="J29" s="39"/>
      <c r="K29" s="7"/>
    </row>
    <row r="30" spans="2:11" x14ac:dyDescent="0.3">
      <c r="B30" s="49" t="s">
        <v>3</v>
      </c>
      <c r="C30" s="137">
        <f>C19</f>
        <v>0</v>
      </c>
      <c r="D30" s="172"/>
      <c r="E30" s="3"/>
      <c r="F30" s="184">
        <f>C30</f>
        <v>0</v>
      </c>
      <c r="G30" s="45"/>
      <c r="H30" s="195"/>
      <c r="I30" s="179"/>
      <c r="J30" s="38"/>
    </row>
    <row r="31" spans="2:11" x14ac:dyDescent="0.3">
      <c r="B31" s="51" t="s">
        <v>54</v>
      </c>
      <c r="C31" s="169">
        <f>C25-C26-C27-C28-C29-C30</f>
        <v>1789.04</v>
      </c>
      <c r="D31" s="173"/>
      <c r="E31" s="165"/>
      <c r="F31" s="187">
        <f>F25-F28-F30</f>
        <v>2665.0950000000003</v>
      </c>
      <c r="G31" s="48"/>
      <c r="H31" s="193"/>
      <c r="I31" s="179"/>
      <c r="J31" s="265"/>
      <c r="K31" s="266"/>
    </row>
    <row r="32" spans="2:11" x14ac:dyDescent="0.3">
      <c r="B32" s="49" t="s">
        <v>2</v>
      </c>
      <c r="C32" s="107">
        <f>C11*C10</f>
        <v>0</v>
      </c>
      <c r="D32" s="50"/>
      <c r="E32" s="3"/>
      <c r="F32" s="188">
        <f>C32</f>
        <v>0</v>
      </c>
      <c r="G32" s="52"/>
      <c r="H32" s="196"/>
      <c r="I32" s="181"/>
      <c r="J32" s="40"/>
    </row>
    <row r="33" spans="2:12" x14ac:dyDescent="0.3">
      <c r="B33" s="49" t="s">
        <v>95</v>
      </c>
      <c r="C33" s="137">
        <f>(Arbeitszeit!J29-Übersicht!C11)*Übersicht!C9</f>
        <v>2348.37</v>
      </c>
      <c r="D33" s="172"/>
      <c r="E33" s="3"/>
      <c r="F33" s="184">
        <f>(Arbeitszeit!J34-Übersicht!C11)*Übersicht!C9</f>
        <v>2322.0699999999997</v>
      </c>
      <c r="G33" s="45"/>
      <c r="H33" s="193"/>
      <c r="I33" s="179"/>
      <c r="J33" s="38"/>
    </row>
    <row r="34" spans="2:12" x14ac:dyDescent="0.3">
      <c r="B34" s="225" t="s">
        <v>237</v>
      </c>
      <c r="C34" s="170">
        <f>C31-C32-C33</f>
        <v>-559.32999999999993</v>
      </c>
      <c r="D34" s="174" t="s">
        <v>50</v>
      </c>
      <c r="E34" s="165"/>
      <c r="F34" s="189">
        <f>F31-F32-F33</f>
        <v>343.02500000000055</v>
      </c>
      <c r="G34" s="177" t="s">
        <v>50</v>
      </c>
      <c r="H34" s="193"/>
      <c r="I34" s="179"/>
      <c r="J34" s="179"/>
    </row>
    <row r="35" spans="2:12" s="26" customFormat="1" x14ac:dyDescent="0.3">
      <c r="B35" s="224"/>
      <c r="C35" s="223"/>
      <c r="D35" s="164"/>
      <c r="E35" s="165"/>
      <c r="F35" s="228"/>
      <c r="G35" s="227"/>
      <c r="H35" s="179"/>
      <c r="I35" s="179"/>
      <c r="J35" s="38"/>
    </row>
    <row r="36" spans="2:12" s="26" customFormat="1" x14ac:dyDescent="0.3">
      <c r="B36" s="220" t="s">
        <v>185</v>
      </c>
      <c r="C36" s="221">
        <f>(Förderung!I32+Förderung!J32*10)/40</f>
        <v>0</v>
      </c>
      <c r="D36" s="222"/>
      <c r="E36" s="165"/>
      <c r="F36" s="229" t="s">
        <v>179</v>
      </c>
      <c r="G36" s="226"/>
      <c r="H36" s="193"/>
      <c r="I36" s="179"/>
      <c r="J36" s="38"/>
    </row>
    <row r="37" spans="2:12" x14ac:dyDescent="0.3">
      <c r="B37" s="49" t="s">
        <v>1</v>
      </c>
      <c r="C37" s="137">
        <f>Förderung!J32</f>
        <v>0</v>
      </c>
      <c r="D37" s="172"/>
      <c r="E37" s="3"/>
      <c r="F37" s="184">
        <f>Förderung!N32</f>
        <v>0</v>
      </c>
      <c r="G37" s="45"/>
      <c r="H37" s="193"/>
      <c r="I37" s="179"/>
      <c r="J37" s="38"/>
    </row>
    <row r="38" spans="2:12" x14ac:dyDescent="0.3">
      <c r="B38" s="53" t="s">
        <v>184</v>
      </c>
      <c r="C38" s="170">
        <f>C34+C37+C36</f>
        <v>-559.32999999999993</v>
      </c>
      <c r="D38" s="174" t="s">
        <v>50</v>
      </c>
      <c r="E38" s="168"/>
      <c r="F38" s="189">
        <f>F34+F37</f>
        <v>343.02500000000055</v>
      </c>
      <c r="G38" s="177" t="s">
        <v>50</v>
      </c>
      <c r="H38" s="197"/>
      <c r="I38" s="182"/>
      <c r="J38" s="41"/>
    </row>
    <row r="39" spans="2:12" x14ac:dyDescent="0.3">
      <c r="E39" s="7"/>
      <c r="F39" s="3"/>
      <c r="G39" s="26"/>
      <c r="H39" s="180"/>
      <c r="I39" s="39"/>
      <c r="J39" s="39"/>
    </row>
    <row r="40" spans="2:12" x14ac:dyDescent="0.3">
      <c r="B40" s="10" t="s">
        <v>111</v>
      </c>
      <c r="F40" s="3"/>
      <c r="G40" s="26"/>
      <c r="H40" s="37"/>
      <c r="I40" s="37"/>
      <c r="J40" s="39"/>
    </row>
    <row r="41" spans="2:12" ht="28.8" x14ac:dyDescent="0.3">
      <c r="B41" s="55" t="s">
        <v>97</v>
      </c>
      <c r="C41" s="175">
        <f>(C25-C32-C12-C30-C16/40-((C17+C16)/2*C14/100))/(Arbeitszeit!K29-C11)</f>
        <v>16.990411690008649</v>
      </c>
      <c r="D41" s="166" t="s">
        <v>6</v>
      </c>
      <c r="E41" s="167"/>
      <c r="F41" s="190">
        <f>(F25-F32-F28-F30)/(Arbeitszeit!J34-C11)</f>
        <v>17.215856972442694</v>
      </c>
      <c r="G41" s="435" t="s">
        <v>6</v>
      </c>
      <c r="J41" s="42"/>
      <c r="L41" s="26"/>
    </row>
    <row r="42" spans="2:12" ht="28.8" x14ac:dyDescent="0.3">
      <c r="B42" s="55" t="s">
        <v>98</v>
      </c>
      <c r="C42" s="176">
        <f>(C25-C32+C37+C36-C12-C30-C16/40-((C17+C16)/2*C14/100))/(Arbeitszeit!K29-C11)</f>
        <v>16.990411690008649</v>
      </c>
      <c r="D42" s="167" t="s">
        <v>6</v>
      </c>
      <c r="E42" s="167"/>
      <c r="F42" s="191">
        <f>(F25-F32+F37-F28-F30)/(Arbeitszeit!J34-C11)</f>
        <v>17.215856972442694</v>
      </c>
      <c r="G42" s="436" t="s">
        <v>6</v>
      </c>
      <c r="J42" s="54"/>
    </row>
    <row r="43" spans="2:12" s="26" customFormat="1" ht="25.8" customHeight="1" x14ac:dyDescent="0.3">
      <c r="B43" s="56" t="s">
        <v>247</v>
      </c>
      <c r="C43" s="176">
        <f>Arbeitszeit!J29/C4</f>
        <v>156.55799999999999</v>
      </c>
      <c r="D43" s="167" t="s">
        <v>248</v>
      </c>
      <c r="E43" s="167"/>
      <c r="F43" s="191">
        <f>Arbeitszeit!J34/C4</f>
        <v>154.80466666666666</v>
      </c>
      <c r="G43" s="30" t="s">
        <v>248</v>
      </c>
      <c r="J43" s="42"/>
    </row>
    <row r="44" spans="2:12" ht="28.8" x14ac:dyDescent="0.3">
      <c r="B44" s="56" t="s">
        <v>238</v>
      </c>
      <c r="C44" s="176">
        <f>(C34+C29)/C15*100</f>
        <v>-0.42726207704499991</v>
      </c>
      <c r="D44" s="167" t="s">
        <v>5</v>
      </c>
      <c r="E44" s="167"/>
      <c r="F44" s="311" t="s">
        <v>120</v>
      </c>
      <c r="G44" s="437"/>
      <c r="J44" s="6"/>
    </row>
    <row r="45" spans="2:12" s="26" customFormat="1" ht="28.8" x14ac:dyDescent="0.3">
      <c r="B45" s="55" t="s">
        <v>239</v>
      </c>
      <c r="C45" s="176">
        <f>C34/C5</f>
        <v>-6.9916249999999991</v>
      </c>
      <c r="D45" s="167" t="s">
        <v>230</v>
      </c>
      <c r="E45" s="167"/>
      <c r="F45" s="438">
        <f>F34/C5</f>
        <v>4.2878125000000065</v>
      </c>
      <c r="G45" s="437" t="s">
        <v>230</v>
      </c>
      <c r="J45" s="54"/>
    </row>
    <row r="46" spans="2:12" s="26" customFormat="1" ht="26.4" customHeight="1" x14ac:dyDescent="0.3">
      <c r="B46" s="55" t="s">
        <v>240</v>
      </c>
      <c r="C46" s="312">
        <f>C34/C4</f>
        <v>-559.32999999999993</v>
      </c>
      <c r="D46" s="313" t="s">
        <v>231</v>
      </c>
      <c r="E46" s="167"/>
      <c r="F46" s="439">
        <f>F34/C4</f>
        <v>343.02500000000055</v>
      </c>
      <c r="G46" s="440" t="s">
        <v>231</v>
      </c>
      <c r="J46" s="54"/>
    </row>
    <row r="47" spans="2:12" x14ac:dyDescent="0.3">
      <c r="E47" s="7"/>
      <c r="G47" s="26"/>
      <c r="H47" s="26"/>
    </row>
    <row r="48" spans="2:12" x14ac:dyDescent="0.3">
      <c r="G48" s="26"/>
      <c r="H48" s="26"/>
    </row>
    <row r="49" spans="2:8" x14ac:dyDescent="0.3">
      <c r="B49" s="8"/>
      <c r="G49" s="26"/>
      <c r="H49" s="26"/>
    </row>
    <row r="50" spans="2:8" x14ac:dyDescent="0.3">
      <c r="B50" s="17" t="s">
        <v>252</v>
      </c>
    </row>
    <row r="51" spans="2:8" x14ac:dyDescent="0.3">
      <c r="B51" s="8"/>
    </row>
    <row r="52" spans="2:8" x14ac:dyDescent="0.3">
      <c r="B52" s="8"/>
    </row>
    <row r="53" spans="2:8" x14ac:dyDescent="0.3">
      <c r="B53" s="8"/>
    </row>
  </sheetData>
  <sheetProtection algorithmName="SHA-512" hashValue="rm3Jgqxf59ERE9ekGW+KWt7EVNby6WbNosvLudoJDjXbTEtnVR59VITn2q0yt2/CxD5pmg+3UUg/x5NLXHDFvg==" saltValue="pNgRYk2MLABq8YIsdvdcyw==" spinCount="100000" sheet="1" objects="1" scenarios="1"/>
  <mergeCells count="7">
    <mergeCell ref="C22:D22"/>
    <mergeCell ref="F22:G22"/>
    <mergeCell ref="F4:G4"/>
    <mergeCell ref="F5:G5"/>
    <mergeCell ref="F6:G6"/>
    <mergeCell ref="F7:G7"/>
    <mergeCell ref="F8:G8"/>
  </mergeCells>
  <conditionalFormatting sqref="I25 C25:F25 C31:F31 C38:I38 C34:F36">
    <cfRule type="cellIs" dxfId="15" priority="7" operator="lessThan">
      <formula>0</formula>
    </cfRule>
  </conditionalFormatting>
  <conditionalFormatting sqref="H4:H8">
    <cfRule type="expression" dxfId="14" priority="4">
      <formula>IF(SUM($H$4:$H$8)=$C$5,FALSE,TRUE)</formula>
    </cfRule>
  </conditionalFormatting>
  <conditionalFormatting sqref="G9">
    <cfRule type="expression" dxfId="13" priority="3">
      <formula>IF(SUM($H$4:$H$8)=$C$5,FALSE,TRUE)</formula>
    </cfRule>
  </conditionalFormatting>
  <conditionalFormatting sqref="H25 H31 H34:H36">
    <cfRule type="cellIs" dxfId="12" priority="2" operator="lessThan">
      <formula>0</formula>
    </cfRule>
  </conditionalFormatting>
  <conditionalFormatting sqref="G34">
    <cfRule type="cellIs" dxfId="11" priority="1" operator="lessThan">
      <formula>0</formula>
    </cfRule>
  </conditionalFormatting>
  <dataValidations count="1">
    <dataValidation type="list" allowBlank="1" showInputMessage="1" showErrorMessage="1" sqref="C8" xr:uid="{C8DC43D2-322A-4803-A693-3C19350FE81C}">
      <formula1>"ja,nein"</formula1>
    </dataValidation>
  </dataValidations>
  <pageMargins left="0.7" right="0.7" top="0.78740157499999996" bottom="0.78740157499999996" header="0.3" footer="0.3"/>
  <pageSetup paperSize="9" orientation="portrait" r:id="rId1"/>
  <ignoredErrors>
    <ignoredError sqref="F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AF017-CFAC-4688-8176-9D496A43AEC9}">
  <sheetPr codeName="Tabelle4">
    <tabColor theme="9" tint="-0.249977111117893"/>
  </sheetPr>
  <dimension ref="A1:M45"/>
  <sheetViews>
    <sheetView showGridLines="0" zoomScaleNormal="100" workbookViewId="0">
      <selection activeCell="C12" sqref="C12"/>
    </sheetView>
  </sheetViews>
  <sheetFormatPr baseColWidth="10" defaultColWidth="11.5546875" defaultRowHeight="14.4" x14ac:dyDescent="0.3"/>
  <cols>
    <col min="1" max="1" width="2.44140625" style="14" customWidth="1"/>
    <col min="2" max="2" width="21.33203125" style="14" customWidth="1"/>
    <col min="3" max="3" width="9.21875" style="14" customWidth="1"/>
    <col min="4" max="4" width="9.6640625" style="14" customWidth="1"/>
    <col min="5" max="7" width="11.5546875" style="14"/>
    <col min="8" max="8" width="16.21875" style="14" customWidth="1"/>
    <col min="9" max="9" width="16.33203125" style="14" customWidth="1"/>
    <col min="10" max="16384" width="11.5546875" style="14"/>
  </cols>
  <sheetData>
    <row r="1" spans="1:10" s="26" customFormat="1" ht="18" x14ac:dyDescent="0.35">
      <c r="A1" s="317"/>
      <c r="B1" s="318" t="s">
        <v>101</v>
      </c>
      <c r="C1" s="319"/>
      <c r="D1" s="15" t="s">
        <v>138</v>
      </c>
    </row>
    <row r="2" spans="1:10" ht="15.6" x14ac:dyDescent="0.3">
      <c r="B2" s="20"/>
      <c r="C2" s="19"/>
      <c r="D2" s="19"/>
      <c r="E2" s="19"/>
      <c r="F2" s="19"/>
      <c r="G2" s="19"/>
      <c r="H2" s="19"/>
    </row>
    <row r="3" spans="1:10" x14ac:dyDescent="0.3">
      <c r="B3" s="22" t="s">
        <v>10</v>
      </c>
      <c r="C3" s="19"/>
      <c r="D3" s="19"/>
      <c r="E3" s="19"/>
      <c r="F3" s="19"/>
      <c r="G3" s="19"/>
      <c r="H3" s="19"/>
    </row>
    <row r="4" spans="1:10" x14ac:dyDescent="0.3">
      <c r="B4" s="58" t="s">
        <v>121</v>
      </c>
      <c r="C4" s="138">
        <v>100</v>
      </c>
      <c r="D4" s="59" t="s">
        <v>126</v>
      </c>
      <c r="H4" s="19"/>
    </row>
    <row r="5" spans="1:10" x14ac:dyDescent="0.3">
      <c r="B5" s="60" t="s">
        <v>122</v>
      </c>
      <c r="C5" s="139">
        <v>15</v>
      </c>
      <c r="D5" s="61" t="s">
        <v>126</v>
      </c>
      <c r="E5" s="19"/>
      <c r="F5" s="19"/>
      <c r="G5" s="19"/>
      <c r="H5" s="19"/>
    </row>
    <row r="6" spans="1:10" x14ac:dyDescent="0.3">
      <c r="B6" s="60" t="s">
        <v>123</v>
      </c>
      <c r="C6" s="139">
        <v>180</v>
      </c>
      <c r="D6" s="61" t="s">
        <v>126</v>
      </c>
      <c r="E6" s="19"/>
      <c r="F6" s="19"/>
      <c r="G6" s="19"/>
      <c r="H6" s="19"/>
    </row>
    <row r="7" spans="1:10" x14ac:dyDescent="0.3">
      <c r="B7" s="60" t="s">
        <v>124</v>
      </c>
      <c r="C7" s="139">
        <v>20</v>
      </c>
      <c r="D7" s="61" t="s">
        <v>126</v>
      </c>
      <c r="E7" s="19"/>
      <c r="F7" s="19"/>
      <c r="G7" s="19"/>
      <c r="H7" s="19"/>
    </row>
    <row r="8" spans="1:10" x14ac:dyDescent="0.3">
      <c r="B8" s="60"/>
      <c r="C8" s="65"/>
      <c r="D8" s="61"/>
      <c r="E8" s="19"/>
      <c r="F8" s="19"/>
      <c r="G8" s="19"/>
      <c r="H8" s="19"/>
    </row>
    <row r="9" spans="1:10" x14ac:dyDescent="0.3">
      <c r="B9" s="60" t="s">
        <v>125</v>
      </c>
      <c r="C9" s="139">
        <v>0</v>
      </c>
      <c r="D9" s="61" t="s">
        <v>126</v>
      </c>
      <c r="E9" s="19"/>
      <c r="F9" s="19"/>
      <c r="G9" s="19"/>
      <c r="H9" s="19"/>
    </row>
    <row r="10" spans="1:10" x14ac:dyDescent="0.3">
      <c r="B10" s="60"/>
      <c r="C10" s="65"/>
      <c r="D10" s="61"/>
      <c r="E10" s="19"/>
      <c r="F10" s="19"/>
      <c r="G10" s="19"/>
      <c r="H10" s="19"/>
    </row>
    <row r="11" spans="1:10" x14ac:dyDescent="0.3">
      <c r="B11" s="62" t="s">
        <v>99</v>
      </c>
      <c r="C11" s="140">
        <v>7</v>
      </c>
      <c r="D11" s="63" t="s">
        <v>5</v>
      </c>
      <c r="J11" s="19"/>
    </row>
    <row r="12" spans="1:10" x14ac:dyDescent="0.3">
      <c r="C12" s="19"/>
      <c r="D12" s="19"/>
    </row>
    <row r="13" spans="1:10" x14ac:dyDescent="0.3">
      <c r="B13" s="22" t="s">
        <v>118</v>
      </c>
      <c r="C13" s="19"/>
      <c r="D13" s="19"/>
      <c r="E13" s="19"/>
      <c r="F13" s="19"/>
      <c r="G13" s="19"/>
      <c r="H13" s="19"/>
    </row>
    <row r="14" spans="1:10" ht="30" customHeight="1" x14ac:dyDescent="0.3">
      <c r="B14" s="81" t="s">
        <v>29</v>
      </c>
      <c r="C14" s="81"/>
      <c r="D14" s="79" t="s">
        <v>20</v>
      </c>
      <c r="E14" s="79" t="s">
        <v>11</v>
      </c>
      <c r="F14" s="79" t="s">
        <v>12</v>
      </c>
      <c r="G14" s="79" t="s">
        <v>13</v>
      </c>
      <c r="H14" s="80" t="s">
        <v>200</v>
      </c>
      <c r="I14" s="80" t="s">
        <v>201</v>
      </c>
    </row>
    <row r="15" spans="1:10" x14ac:dyDescent="0.3">
      <c r="B15" s="60" t="s">
        <v>100</v>
      </c>
      <c r="C15" s="64" t="s">
        <v>14</v>
      </c>
      <c r="D15" s="217">
        <v>0</v>
      </c>
      <c r="E15" s="217">
        <v>20</v>
      </c>
      <c r="F15" s="217">
        <v>60</v>
      </c>
      <c r="G15" s="217">
        <v>210</v>
      </c>
      <c r="H15" s="76">
        <f>(F15*10+G15*30)/40</f>
        <v>172.5</v>
      </c>
      <c r="I15" s="61">
        <f>E15*0.1+F15*0.2+G15*0.6</f>
        <v>140</v>
      </c>
    </row>
    <row r="16" spans="1:10" x14ac:dyDescent="0.3">
      <c r="B16" s="60" t="s">
        <v>127</v>
      </c>
      <c r="C16" s="64" t="s">
        <v>9</v>
      </c>
      <c r="D16" s="66">
        <f>IF(Übersicht!$C$8="nein",D15*$C$11/100*Übersicht!C5/100,0)</f>
        <v>0</v>
      </c>
      <c r="E16" s="76">
        <f>IF(Übersicht!$C$8="nein",E15*$C$11/100*Übersicht!C5/100,0)</f>
        <v>0</v>
      </c>
      <c r="F16" s="66">
        <f>IF(Übersicht!C8="nein",$F$15*$C$11/100*Übersicht!$C$5/100,0)</f>
        <v>0</v>
      </c>
      <c r="G16" s="76">
        <f>IF(Übersicht!C8="nein",$G$15*$C$11/100*Übersicht!$C$5/100,0)</f>
        <v>0</v>
      </c>
      <c r="H16" s="76">
        <f t="shared" ref="H16:H22" si="0">(F16*10+G16*30)/40</f>
        <v>0</v>
      </c>
      <c r="I16" s="68">
        <f>E16*0.1+F16*0.2+G16*0.6</f>
        <v>0</v>
      </c>
    </row>
    <row r="17" spans="2:13" x14ac:dyDescent="0.3">
      <c r="B17" s="60" t="s">
        <v>128</v>
      </c>
      <c r="C17" s="64" t="s">
        <v>9</v>
      </c>
      <c r="D17" s="21">
        <f>IF(Übersicht!$C$8="nein",D15*(100-$C$11)/100*Übersicht!$C$5/100,0)</f>
        <v>0</v>
      </c>
      <c r="E17" s="76">
        <f>IF(Übersicht!$C$8="nein",E15*(100-$C$11)/100*Übersicht!$C$5/100,0)</f>
        <v>0</v>
      </c>
      <c r="F17" s="66">
        <f>IF(Übersicht!C8="nein",$F$15*(100-$C$11)/100*Übersicht!$C$5/100,0)</f>
        <v>0</v>
      </c>
      <c r="G17" s="76">
        <f>IF(Übersicht!C8="nein",$G$15*(100-$C$11)/100*Übersicht!$C$5/100,0)</f>
        <v>0</v>
      </c>
      <c r="H17" s="76">
        <f t="shared" si="0"/>
        <v>0</v>
      </c>
      <c r="I17" s="68">
        <f>E17*0.1+F17*0.2+G17*0.6</f>
        <v>0</v>
      </c>
    </row>
    <row r="18" spans="2:13" x14ac:dyDescent="0.3">
      <c r="B18" s="60" t="s">
        <v>130</v>
      </c>
      <c r="C18" s="64" t="s">
        <v>9</v>
      </c>
      <c r="D18" s="21">
        <f>IF(Übersicht!$C$8="ja",D15*$C$11/100*Übersicht!$C$5/100,0)</f>
        <v>0</v>
      </c>
      <c r="E18" s="76">
        <f>IF(Übersicht!$C$8="ja",E15*$C$11/100*Übersicht!$C$5/100,0)</f>
        <v>1.1200000000000001</v>
      </c>
      <c r="F18" s="66">
        <f>IF(Übersicht!C8="ja",$F$15*$C$11/100*Übersicht!$C$5/100,0)</f>
        <v>3.36</v>
      </c>
      <c r="G18" s="76">
        <f>IF(Übersicht!C8="ja",$G$15*$C$11/100*Übersicht!$C$5/100,0)</f>
        <v>11.76</v>
      </c>
      <c r="H18" s="76">
        <f t="shared" si="0"/>
        <v>9.66</v>
      </c>
      <c r="I18" s="68">
        <f>E18*0.1+F18*0.2+G18*0.6</f>
        <v>7.84</v>
      </c>
    </row>
    <row r="19" spans="2:13" x14ac:dyDescent="0.3">
      <c r="B19" s="60" t="s">
        <v>129</v>
      </c>
      <c r="C19" s="64" t="s">
        <v>9</v>
      </c>
      <c r="D19" s="21">
        <f>IF(Übersicht!$C$8="ja",D15*(100-$C$11)/100*Übersicht!$C$5/100,0)</f>
        <v>0</v>
      </c>
      <c r="E19" s="76">
        <f>IF(Übersicht!$C$8="ja",E15*(100-$C$11)/100*Übersicht!$C$5/100,0)</f>
        <v>14.88</v>
      </c>
      <c r="F19" s="66">
        <f>IF(Übersicht!C8="ja",$F$15*(100-$C$11)/100*Übersicht!$C$5/100,0)</f>
        <v>44.64</v>
      </c>
      <c r="G19" s="76">
        <f>IF(Übersicht!C8="ja",$G$15*(100-$C$11)/100*Übersicht!$C$5/100,0)</f>
        <v>156.24</v>
      </c>
      <c r="H19" s="76">
        <f t="shared" si="0"/>
        <v>128.34</v>
      </c>
      <c r="I19" s="68">
        <f>E19*0.1+F19*0.2+G19*0.6</f>
        <v>104.16</v>
      </c>
      <c r="K19" s="19"/>
      <c r="M19" s="13"/>
    </row>
    <row r="20" spans="2:13" x14ac:dyDescent="0.3">
      <c r="B20" s="96"/>
      <c r="C20" s="97"/>
      <c r="D20" s="98"/>
      <c r="E20" s="99"/>
      <c r="F20" s="100"/>
      <c r="G20" s="99"/>
      <c r="H20" s="101"/>
      <c r="I20" s="101"/>
      <c r="K20" s="19"/>
      <c r="M20" s="13"/>
    </row>
    <row r="21" spans="2:13" x14ac:dyDescent="0.3">
      <c r="B21" s="60" t="s">
        <v>102</v>
      </c>
      <c r="C21" s="64" t="s">
        <v>7</v>
      </c>
      <c r="D21" s="21">
        <f>$C$4*D16+$C$6*D18</f>
        <v>0</v>
      </c>
      <c r="E21" s="76">
        <f>$C$4*E16+$C$6*E18</f>
        <v>201.60000000000002</v>
      </c>
      <c r="F21" s="66">
        <f>$C$4*F16+$C$6*F18</f>
        <v>604.79999999999995</v>
      </c>
      <c r="G21" s="76">
        <f>$C$4*G16+$C$6*G18</f>
        <v>2116.8000000000002</v>
      </c>
      <c r="H21" s="76">
        <f t="shared" si="0"/>
        <v>1738.8</v>
      </c>
      <c r="I21" s="68">
        <f>E21*0.1+F21*0.2+G21*0.6</f>
        <v>1411.2000000000003</v>
      </c>
    </row>
    <row r="22" spans="2:13" x14ac:dyDescent="0.3">
      <c r="B22" s="60" t="s">
        <v>103</v>
      </c>
      <c r="C22" s="64" t="s">
        <v>7</v>
      </c>
      <c r="D22" s="21">
        <f>$C$5*D17+$C$7*D19</f>
        <v>0</v>
      </c>
      <c r="E22" s="76">
        <f t="shared" ref="E22:G22" si="1">$C$5*E17+$C$7*E19</f>
        <v>297.60000000000002</v>
      </c>
      <c r="F22" s="66">
        <f t="shared" si="1"/>
        <v>892.8</v>
      </c>
      <c r="G22" s="76">
        <f t="shared" si="1"/>
        <v>3124.8</v>
      </c>
      <c r="H22" s="76">
        <f t="shared" si="0"/>
        <v>2566.8000000000002</v>
      </c>
      <c r="I22" s="68">
        <f>E22*0.1+F22*0.2+G22*0.6</f>
        <v>2083.2000000000003</v>
      </c>
      <c r="M22" s="13"/>
    </row>
    <row r="23" spans="2:13" x14ac:dyDescent="0.3">
      <c r="B23" s="82" t="s">
        <v>106</v>
      </c>
      <c r="C23" s="82" t="s">
        <v>7</v>
      </c>
      <c r="D23" s="83">
        <f>SUM(D21:D22)</f>
        <v>0</v>
      </c>
      <c r="E23" s="83">
        <f t="shared" ref="E23:H23" si="2">SUM(E21:E22)</f>
        <v>499.20000000000005</v>
      </c>
      <c r="F23" s="83">
        <f t="shared" si="2"/>
        <v>1497.6</v>
      </c>
      <c r="G23" s="83">
        <f t="shared" si="2"/>
        <v>5241.6000000000004</v>
      </c>
      <c r="H23" s="83">
        <f t="shared" si="2"/>
        <v>4305.6000000000004</v>
      </c>
      <c r="I23" s="83">
        <f>SUM(I21:I22)</f>
        <v>3494.4000000000005</v>
      </c>
      <c r="M23" s="12"/>
    </row>
    <row r="24" spans="2:13" x14ac:dyDescent="0.3">
      <c r="B24" s="60"/>
      <c r="C24" s="64"/>
      <c r="D24" s="102"/>
      <c r="E24" s="103"/>
      <c r="F24" s="102"/>
      <c r="G24" s="103"/>
      <c r="H24" s="104"/>
      <c r="I24" s="104"/>
      <c r="M24" s="12"/>
    </row>
    <row r="25" spans="2:13" x14ac:dyDescent="0.3">
      <c r="B25" s="69" t="s">
        <v>30</v>
      </c>
      <c r="C25" s="74"/>
      <c r="D25" s="67"/>
      <c r="E25" s="77"/>
      <c r="F25" s="67"/>
      <c r="G25" s="77"/>
      <c r="H25" s="70"/>
      <c r="I25" s="70"/>
      <c r="M25" s="12"/>
    </row>
    <row r="26" spans="2:13" x14ac:dyDescent="0.3">
      <c r="B26" s="60" t="s">
        <v>104</v>
      </c>
      <c r="C26" s="64" t="s">
        <v>9</v>
      </c>
      <c r="D26" s="64">
        <f>IF(Arbeitszeit!$C$26="ja",55*Übersicht!$C$4,0)</f>
        <v>0</v>
      </c>
      <c r="E26" s="64">
        <f>IF(Arbeitszeit!$C$26="ja",55*Übersicht!$C$4,0)</f>
        <v>0</v>
      </c>
      <c r="F26" s="64">
        <f>IF(Arbeitszeit!$C$26="ja",55*Übersicht!$C$4,0)</f>
        <v>0</v>
      </c>
      <c r="G26" s="64">
        <f>IF(Arbeitszeit!$C$26="ja",55*Übersicht!$C$4,0)</f>
        <v>0</v>
      </c>
      <c r="H26" s="61">
        <f t="shared" ref="H26" si="3">(F26*10+G26*30)/40</f>
        <v>0</v>
      </c>
      <c r="I26" s="68">
        <f>D26*0.1+E26*0.1+F26*0.2+G26*0.6</f>
        <v>0</v>
      </c>
    </row>
    <row r="27" spans="2:13" x14ac:dyDescent="0.3">
      <c r="B27" s="96"/>
      <c r="C27" s="97"/>
      <c r="D27" s="105"/>
      <c r="E27" s="97"/>
      <c r="F27" s="105"/>
      <c r="G27" s="97"/>
      <c r="H27" s="106"/>
      <c r="I27" s="101"/>
    </row>
    <row r="28" spans="2:13" x14ac:dyDescent="0.3">
      <c r="B28" s="60" t="s">
        <v>105</v>
      </c>
      <c r="C28" s="64" t="s">
        <v>7</v>
      </c>
      <c r="D28" s="92">
        <f>D26*$C$9</f>
        <v>0</v>
      </c>
      <c r="E28" s="92">
        <f t="shared" ref="E28:G28" si="4">E26*$C$9</f>
        <v>0</v>
      </c>
      <c r="F28" s="92">
        <f t="shared" si="4"/>
        <v>0</v>
      </c>
      <c r="G28" s="92">
        <f t="shared" si="4"/>
        <v>0</v>
      </c>
      <c r="H28" s="61">
        <f t="shared" ref="H28:H30" si="5">(F28*10+G28*30)/40</f>
        <v>0</v>
      </c>
      <c r="I28" s="68">
        <f>D28*0.1+E28*0.1+F28*0.2+G28*0.6</f>
        <v>0</v>
      </c>
    </row>
    <row r="29" spans="2:13" x14ac:dyDescent="0.3">
      <c r="B29" s="60" t="s">
        <v>23</v>
      </c>
      <c r="C29" s="92" t="s">
        <v>7</v>
      </c>
      <c r="D29" s="158"/>
      <c r="E29" s="158"/>
      <c r="F29" s="158"/>
      <c r="G29" s="158"/>
      <c r="H29" s="61">
        <f t="shared" si="5"/>
        <v>0</v>
      </c>
      <c r="I29" s="91">
        <f>D29*0.1+E29*0.1+F29*0.2+G29*0.6</f>
        <v>0</v>
      </c>
    </row>
    <row r="30" spans="2:13" x14ac:dyDescent="0.3">
      <c r="B30" s="82" t="s">
        <v>107</v>
      </c>
      <c r="C30" s="82" t="s">
        <v>7</v>
      </c>
      <c r="D30" s="82">
        <f>SUM(D28:D29)</f>
        <v>0</v>
      </c>
      <c r="E30" s="82">
        <f t="shared" ref="E30:G30" si="6">SUM(E28:E29)</f>
        <v>0</v>
      </c>
      <c r="F30" s="82">
        <f t="shared" si="6"/>
        <v>0</v>
      </c>
      <c r="G30" s="82">
        <f t="shared" si="6"/>
        <v>0</v>
      </c>
      <c r="H30" s="83">
        <f t="shared" si="5"/>
        <v>0</v>
      </c>
      <c r="I30" s="83">
        <f>D30*0.1+E30*0.1+F30*0.2+G30*0.6</f>
        <v>0</v>
      </c>
    </row>
    <row r="31" spans="2:13" x14ac:dyDescent="0.3">
      <c r="B31" s="71" t="s">
        <v>108</v>
      </c>
      <c r="C31" s="75" t="s">
        <v>7</v>
      </c>
      <c r="D31" s="72">
        <f>D30+D23</f>
        <v>0</v>
      </c>
      <c r="E31" s="78">
        <f t="shared" ref="E31:I31" si="7">E30+E23</f>
        <v>499.20000000000005</v>
      </c>
      <c r="F31" s="72">
        <f t="shared" si="7"/>
        <v>1497.6</v>
      </c>
      <c r="G31" s="78">
        <f t="shared" si="7"/>
        <v>5241.6000000000004</v>
      </c>
      <c r="H31" s="73">
        <f t="shared" si="7"/>
        <v>4305.6000000000004</v>
      </c>
      <c r="I31" s="73">
        <f t="shared" si="7"/>
        <v>3494.4000000000005</v>
      </c>
    </row>
    <row r="33" spans="2:8" x14ac:dyDescent="0.3">
      <c r="B33" s="23" t="s">
        <v>94</v>
      </c>
    </row>
    <row r="34" spans="2:8" x14ac:dyDescent="0.3">
      <c r="B34" s="89" t="s">
        <v>112</v>
      </c>
      <c r="C34" s="29"/>
      <c r="D34" s="267">
        <f>Übersicht!$H5/Übersicht!$C$5</f>
        <v>3.7499999999999999E-2</v>
      </c>
      <c r="E34" s="268">
        <f>Übersicht!H6/Übersicht!$C$5</f>
        <v>6.25E-2</v>
      </c>
      <c r="F34" s="267">
        <f>Übersicht!H7/Übersicht!$C$5</f>
        <v>0.125</v>
      </c>
      <c r="G34" s="268">
        <f>Übersicht!H8/Übersicht!$C$5</f>
        <v>0.75</v>
      </c>
      <c r="H34" s="90"/>
    </row>
    <row r="35" spans="2:8" x14ac:dyDescent="0.3">
      <c r="B35" s="84" t="s">
        <v>127</v>
      </c>
      <c r="C35" s="30" t="s">
        <v>9</v>
      </c>
      <c r="D35" s="85">
        <f t="shared" ref="D35:G38" si="8">D16*D$34</f>
        <v>0</v>
      </c>
      <c r="E35" s="94">
        <f t="shared" si="8"/>
        <v>0</v>
      </c>
      <c r="F35" s="85">
        <f t="shared" si="8"/>
        <v>0</v>
      </c>
      <c r="G35" s="94">
        <f t="shared" si="8"/>
        <v>0</v>
      </c>
      <c r="H35" s="61"/>
    </row>
    <row r="36" spans="2:8" x14ac:dyDescent="0.3">
      <c r="B36" s="84" t="s">
        <v>128</v>
      </c>
      <c r="C36" s="30" t="s">
        <v>9</v>
      </c>
      <c r="D36" s="85">
        <f t="shared" si="8"/>
        <v>0</v>
      </c>
      <c r="E36" s="94">
        <f t="shared" si="8"/>
        <v>0</v>
      </c>
      <c r="F36" s="85">
        <f t="shared" si="8"/>
        <v>0</v>
      </c>
      <c r="G36" s="94">
        <f t="shared" si="8"/>
        <v>0</v>
      </c>
      <c r="H36" s="61"/>
    </row>
    <row r="37" spans="2:8" x14ac:dyDescent="0.3">
      <c r="B37" s="84" t="s">
        <v>130</v>
      </c>
      <c r="C37" s="30" t="s">
        <v>9</v>
      </c>
      <c r="D37" s="85">
        <f t="shared" si="8"/>
        <v>0</v>
      </c>
      <c r="E37" s="94">
        <f t="shared" si="8"/>
        <v>7.0000000000000007E-2</v>
      </c>
      <c r="F37" s="85">
        <f t="shared" si="8"/>
        <v>0.42</v>
      </c>
      <c r="G37" s="94">
        <f t="shared" si="8"/>
        <v>8.82</v>
      </c>
      <c r="H37" s="61"/>
    </row>
    <row r="38" spans="2:8" x14ac:dyDescent="0.3">
      <c r="B38" s="84" t="s">
        <v>129</v>
      </c>
      <c r="C38" s="30" t="s">
        <v>9</v>
      </c>
      <c r="D38" s="85">
        <f t="shared" si="8"/>
        <v>0</v>
      </c>
      <c r="E38" s="94">
        <f t="shared" si="8"/>
        <v>0.93</v>
      </c>
      <c r="F38" s="85">
        <f t="shared" si="8"/>
        <v>5.58</v>
      </c>
      <c r="G38" s="94">
        <f t="shared" si="8"/>
        <v>117.18</v>
      </c>
      <c r="H38" s="61"/>
    </row>
    <row r="39" spans="2:8" x14ac:dyDescent="0.3">
      <c r="B39" s="84"/>
      <c r="C39" s="30"/>
      <c r="D39" s="85"/>
      <c r="E39" s="94"/>
      <c r="F39" s="85"/>
      <c r="G39" s="94"/>
      <c r="H39" s="61"/>
    </row>
    <row r="40" spans="2:8" x14ac:dyDescent="0.3">
      <c r="B40" s="84" t="s">
        <v>102</v>
      </c>
      <c r="C40" s="30" t="s">
        <v>7</v>
      </c>
      <c r="D40" s="85">
        <f t="shared" ref="D40:G41" si="9">D21*D$34</f>
        <v>0</v>
      </c>
      <c r="E40" s="94">
        <f t="shared" si="9"/>
        <v>12.600000000000001</v>
      </c>
      <c r="F40" s="85">
        <f t="shared" si="9"/>
        <v>75.599999999999994</v>
      </c>
      <c r="G40" s="94">
        <f t="shared" si="9"/>
        <v>1587.6000000000001</v>
      </c>
      <c r="H40" s="61"/>
    </row>
    <row r="41" spans="2:8" x14ac:dyDescent="0.3">
      <c r="B41" s="84" t="s">
        <v>103</v>
      </c>
      <c r="C41" s="30" t="s">
        <v>7</v>
      </c>
      <c r="D41" s="85">
        <f t="shared" si="9"/>
        <v>0</v>
      </c>
      <c r="E41" s="94">
        <f t="shared" si="9"/>
        <v>18.600000000000001</v>
      </c>
      <c r="F41" s="85">
        <f t="shared" si="9"/>
        <v>111.6</v>
      </c>
      <c r="G41" s="94">
        <f t="shared" si="9"/>
        <v>2343.6000000000004</v>
      </c>
      <c r="H41" s="61"/>
    </row>
    <row r="42" spans="2:8" x14ac:dyDescent="0.3">
      <c r="B42" s="86" t="s">
        <v>106</v>
      </c>
      <c r="C42" s="93" t="s">
        <v>7</v>
      </c>
      <c r="D42" s="87">
        <f>SUM(D40:D41)</f>
        <v>0</v>
      </c>
      <c r="E42" s="95">
        <f>SUM(E40:E41)</f>
        <v>31.200000000000003</v>
      </c>
      <c r="F42" s="87">
        <f t="shared" ref="F42:G42" si="10">SUM(F40:F41)</f>
        <v>187.2</v>
      </c>
      <c r="G42" s="95">
        <f t="shared" si="10"/>
        <v>3931.2000000000007</v>
      </c>
      <c r="H42" s="88">
        <f>SUM(D42:G42)</f>
        <v>4149.6000000000004</v>
      </c>
    </row>
    <row r="43" spans="2:8" ht="15.6" x14ac:dyDescent="0.3">
      <c r="B43" s="20"/>
    </row>
    <row r="45" spans="2:8" s="2" customFormat="1" x14ac:dyDescent="0.3">
      <c r="B45" s="17" t="str">
        <f>Übersicht!$B$50</f>
        <v>Erstellt: Clarissa Schmelzle, LfL - Agrarökologie und Biologischer Landbau IAB 4a, Version 2, Stand: 18.12.2024</v>
      </c>
    </row>
  </sheetData>
  <sheetProtection algorithmName="SHA-512" hashValue="gT2KRAtYyMvdlLlQZLvocILy4AvOFzOv211Rx3LlYWNWlAG2fc2SiXpv6FkDvjo4HfMwgqHY0Y1l5u3YCZGBcw==" saltValue="H/xN8Jc76ojcSqyQxnS1Fg==" spinCount="100000" sheet="1" objects="1" scenarios="1"/>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0BF9-CAC8-4FE6-9325-DB066E902AD7}">
  <sheetPr codeName="Tabelle2">
    <tabColor theme="7"/>
  </sheetPr>
  <dimension ref="A1:Q38"/>
  <sheetViews>
    <sheetView showGridLines="0" workbookViewId="0"/>
  </sheetViews>
  <sheetFormatPr baseColWidth="10" defaultRowHeight="14.4" x14ac:dyDescent="0.3"/>
  <cols>
    <col min="1" max="1" width="2.33203125" style="323" customWidth="1"/>
    <col min="2" max="2" width="32" style="323" customWidth="1"/>
    <col min="3" max="3" width="7.33203125" style="323" customWidth="1"/>
    <col min="4" max="4" width="13.5546875" style="323" customWidth="1"/>
    <col min="5" max="8" width="11.5546875" style="323"/>
    <col min="9" max="9" width="12.88671875" style="323" customWidth="1"/>
    <col min="10" max="10" width="15.6640625" style="323" customWidth="1"/>
    <col min="11" max="11" width="17.44140625" style="323" customWidth="1"/>
    <col min="12" max="16384" width="11.5546875" style="323"/>
  </cols>
  <sheetData>
    <row r="1" spans="2:13" ht="18" x14ac:dyDescent="0.35">
      <c r="B1" s="324" t="s">
        <v>142</v>
      </c>
      <c r="C1" s="325"/>
      <c r="D1" s="326"/>
      <c r="F1" s="327" t="s">
        <v>140</v>
      </c>
    </row>
    <row r="2" spans="2:13" ht="14.4" customHeight="1" x14ac:dyDescent="0.35">
      <c r="B2" s="328"/>
      <c r="C2" s="329"/>
      <c r="F2" s="327"/>
    </row>
    <row r="3" spans="2:13" x14ac:dyDescent="0.3">
      <c r="B3" s="330" t="s">
        <v>29</v>
      </c>
      <c r="C3" s="331"/>
    </row>
    <row r="4" spans="2:13" ht="28.8" x14ac:dyDescent="0.3">
      <c r="B4" s="332"/>
      <c r="C4" s="333"/>
      <c r="D4" s="334" t="s">
        <v>141</v>
      </c>
      <c r="E4" s="335" t="s">
        <v>24</v>
      </c>
      <c r="F4" s="335" t="s">
        <v>20</v>
      </c>
      <c r="G4" s="335" t="s">
        <v>11</v>
      </c>
      <c r="H4" s="335" t="s">
        <v>12</v>
      </c>
      <c r="I4" s="336" t="s">
        <v>13</v>
      </c>
      <c r="J4" s="334" t="s">
        <v>202</v>
      </c>
      <c r="K4" s="337" t="s">
        <v>201</v>
      </c>
    </row>
    <row r="5" spans="2:13" x14ac:dyDescent="0.3">
      <c r="B5" s="338" t="s">
        <v>28</v>
      </c>
      <c r="C5" s="339"/>
      <c r="D5" s="340"/>
      <c r="E5" s="340">
        <v>20</v>
      </c>
      <c r="F5" s="340">
        <v>5</v>
      </c>
      <c r="G5" s="340">
        <v>5</v>
      </c>
      <c r="H5" s="340">
        <v>5</v>
      </c>
      <c r="I5" s="340">
        <v>5</v>
      </c>
      <c r="J5" s="340">
        <f t="shared" ref="J5:J15" si="0">(H5*10+I5*30)/40</f>
        <v>5</v>
      </c>
      <c r="K5" s="340">
        <f t="shared" ref="K5:K19" si="1">(F5*5+G5*5+H5*10+I5*30)/50</f>
        <v>5</v>
      </c>
    </row>
    <row r="6" spans="2:13" x14ac:dyDescent="0.3">
      <c r="B6" s="338" t="s">
        <v>0</v>
      </c>
      <c r="C6" s="339"/>
      <c r="D6" s="340"/>
      <c r="E6" s="340">
        <v>1</v>
      </c>
      <c r="F6" s="340">
        <v>0</v>
      </c>
      <c r="G6" s="340">
        <v>0</v>
      </c>
      <c r="H6" s="340">
        <v>0.1</v>
      </c>
      <c r="I6" s="340">
        <v>0.1</v>
      </c>
      <c r="J6" s="340">
        <f t="shared" si="0"/>
        <v>0.1</v>
      </c>
      <c r="K6" s="340">
        <f t="shared" si="1"/>
        <v>0.08</v>
      </c>
    </row>
    <row r="7" spans="2:13" x14ac:dyDescent="0.3">
      <c r="B7" s="338" t="s">
        <v>25</v>
      </c>
      <c r="C7" s="339"/>
      <c r="D7" s="341">
        <v>0.04</v>
      </c>
      <c r="E7" s="340">
        <f>$D$7*Übersicht!$C$5</f>
        <v>3.2</v>
      </c>
      <c r="F7" s="340">
        <f>$D$7*Übersicht!$C$5*2</f>
        <v>6.4</v>
      </c>
      <c r="G7" s="340">
        <f>$D$7*Übersicht!$C$5</f>
        <v>3.2</v>
      </c>
      <c r="H7" s="340">
        <v>0</v>
      </c>
      <c r="I7" s="340">
        <v>0</v>
      </c>
      <c r="J7" s="340">
        <f t="shared" si="0"/>
        <v>0</v>
      </c>
      <c r="K7" s="340">
        <f t="shared" si="1"/>
        <v>0.96</v>
      </c>
    </row>
    <row r="8" spans="2:13" x14ac:dyDescent="0.3">
      <c r="B8" s="338" t="s">
        <v>31</v>
      </c>
      <c r="C8" s="339"/>
      <c r="D8" s="341">
        <v>0.8</v>
      </c>
      <c r="E8" s="340">
        <f>D8*Übersicht!$C$5</f>
        <v>64</v>
      </c>
      <c r="F8" s="340">
        <v>0</v>
      </c>
      <c r="G8" s="340">
        <v>0</v>
      </c>
      <c r="H8" s="340">
        <v>0</v>
      </c>
      <c r="I8" s="340">
        <v>0</v>
      </c>
      <c r="J8" s="340">
        <f t="shared" si="0"/>
        <v>0</v>
      </c>
      <c r="K8" s="340">
        <f t="shared" si="1"/>
        <v>0</v>
      </c>
    </row>
    <row r="9" spans="2:13" x14ac:dyDescent="0.3">
      <c r="B9" s="338" t="s">
        <v>37</v>
      </c>
      <c r="C9" s="339"/>
      <c r="D9" s="341">
        <v>2.5000000000000001E-2</v>
      </c>
      <c r="E9" s="340">
        <f>D9*2*Übersicht!$C$5</f>
        <v>4</v>
      </c>
      <c r="F9" s="340">
        <f>$D$9*Übersicht!$C$5</f>
        <v>2</v>
      </c>
      <c r="G9" s="340">
        <f>$D$9*Übersicht!$C$5</f>
        <v>2</v>
      </c>
      <c r="H9" s="340">
        <v>0</v>
      </c>
      <c r="I9" s="340">
        <v>0</v>
      </c>
      <c r="J9" s="340">
        <f t="shared" si="0"/>
        <v>0</v>
      </c>
      <c r="K9" s="340">
        <f t="shared" si="1"/>
        <v>0.4</v>
      </c>
    </row>
    <row r="10" spans="2:13" x14ac:dyDescent="0.3">
      <c r="B10" s="338" t="s">
        <v>21</v>
      </c>
      <c r="C10" s="339"/>
      <c r="D10" s="341">
        <v>0.1</v>
      </c>
      <c r="E10" s="340">
        <f>$D$10*Übersicht!$C$5</f>
        <v>8</v>
      </c>
      <c r="F10" s="340">
        <f>$D$10*Übersicht!$C$5</f>
        <v>8</v>
      </c>
      <c r="G10" s="340">
        <v>0</v>
      </c>
      <c r="H10" s="340">
        <v>0</v>
      </c>
      <c r="I10" s="340">
        <v>0</v>
      </c>
      <c r="J10" s="340">
        <f t="shared" si="0"/>
        <v>0</v>
      </c>
      <c r="K10" s="340">
        <f t="shared" si="1"/>
        <v>0.8</v>
      </c>
      <c r="M10" s="342"/>
    </row>
    <row r="11" spans="2:13" x14ac:dyDescent="0.3">
      <c r="B11" s="338" t="s">
        <v>27</v>
      </c>
      <c r="C11" s="339"/>
      <c r="D11" s="341">
        <v>0.7</v>
      </c>
      <c r="E11" s="340">
        <f>$D$11*Übersicht!$C$5/10</f>
        <v>5.6</v>
      </c>
      <c r="F11" s="340">
        <f>$D$11*Übersicht!$C$5/2</f>
        <v>28</v>
      </c>
      <c r="G11" s="340">
        <f>$D$11*Übersicht!$C$5/1.2</f>
        <v>46.666666666666671</v>
      </c>
      <c r="H11" s="340">
        <f>$D$11*Übersicht!$C$5</f>
        <v>56</v>
      </c>
      <c r="I11" s="340">
        <f>$D$11*Übersicht!$C$5</f>
        <v>56</v>
      </c>
      <c r="J11" s="340">
        <f t="shared" si="0"/>
        <v>56</v>
      </c>
      <c r="K11" s="340">
        <f t="shared" si="1"/>
        <v>52.266666666666673</v>
      </c>
    </row>
    <row r="12" spans="2:13" x14ac:dyDescent="0.3">
      <c r="B12" s="338" t="s">
        <v>22</v>
      </c>
      <c r="C12" s="339"/>
      <c r="D12" s="341">
        <v>0.05</v>
      </c>
      <c r="E12" s="340">
        <f>$D$12*Übersicht!$C$5</f>
        <v>4</v>
      </c>
      <c r="F12" s="340">
        <f>$D$12*Übersicht!$C$5</f>
        <v>4</v>
      </c>
      <c r="G12" s="340">
        <f>$D$12*Übersicht!$C$5</f>
        <v>4</v>
      </c>
      <c r="H12" s="340">
        <f>$D$12*Übersicht!$C$5</f>
        <v>4</v>
      </c>
      <c r="I12" s="340">
        <f>$D$12*Übersicht!$C$5</f>
        <v>4</v>
      </c>
      <c r="J12" s="340">
        <f t="shared" si="0"/>
        <v>4</v>
      </c>
      <c r="K12" s="340">
        <f t="shared" si="1"/>
        <v>4</v>
      </c>
    </row>
    <row r="13" spans="2:13" x14ac:dyDescent="0.3">
      <c r="B13" s="343" t="s">
        <v>235</v>
      </c>
      <c r="C13" s="339"/>
      <c r="D13" s="341">
        <v>0.3</v>
      </c>
      <c r="E13" s="340">
        <v>0</v>
      </c>
      <c r="F13" s="340">
        <f>$D$13*Übersicht!$C$5</f>
        <v>24</v>
      </c>
      <c r="G13" s="340">
        <f>$D$13*Übersicht!$C$5</f>
        <v>24</v>
      </c>
      <c r="H13" s="340">
        <f>$D$13*Übersicht!$C$5</f>
        <v>24</v>
      </c>
      <c r="I13" s="340">
        <f>$D$13*Übersicht!$C$5</f>
        <v>24</v>
      </c>
      <c r="J13" s="340">
        <f t="shared" si="0"/>
        <v>24</v>
      </c>
      <c r="K13" s="340">
        <f t="shared" si="1"/>
        <v>24</v>
      </c>
    </row>
    <row r="14" spans="2:13" x14ac:dyDescent="0.3">
      <c r="B14" s="338" t="s">
        <v>143</v>
      </c>
      <c r="C14" s="344"/>
      <c r="D14" s="341">
        <v>1.5</v>
      </c>
      <c r="E14" s="340">
        <v>0</v>
      </c>
      <c r="F14" s="340">
        <f>1.5*(Ertrag!D16+Ertrag!D18)</f>
        <v>0</v>
      </c>
      <c r="G14" s="340">
        <f>$D$14*(Ertrag!E16+Ertrag!E18)</f>
        <v>1.6800000000000002</v>
      </c>
      <c r="H14" s="340">
        <f>$D$14*(Ertrag!F16+Ertrag!F18)</f>
        <v>5.04</v>
      </c>
      <c r="I14" s="340">
        <f>$D$14*(Ertrag!G16+Ertrag!G18)</f>
        <v>17.64</v>
      </c>
      <c r="J14" s="340">
        <f t="shared" si="0"/>
        <v>14.49</v>
      </c>
      <c r="K14" s="340">
        <f t="shared" si="1"/>
        <v>11.76</v>
      </c>
    </row>
    <row r="15" spans="2:13" x14ac:dyDescent="0.3">
      <c r="B15" s="338" t="s">
        <v>174</v>
      </c>
      <c r="C15" s="341" t="s">
        <v>96</v>
      </c>
      <c r="D15" s="341">
        <v>0.7</v>
      </c>
      <c r="E15" s="340">
        <v>0</v>
      </c>
      <c r="F15" s="340">
        <v>0</v>
      </c>
      <c r="G15" s="340">
        <f>IF($C$15="ja", $D$15*(Ertrag!E$17+Ertrag!E$19), 0)</f>
        <v>0</v>
      </c>
      <c r="H15" s="340">
        <f>IF($C$15="ja", $D$15*(Ertrag!F$17+Ertrag!F$19), 0)</f>
        <v>0</v>
      </c>
      <c r="I15" s="340">
        <f>IF($C$15="ja", $D$15*(Ertrag!G$17+Ertrag!G$19), 0)</f>
        <v>0</v>
      </c>
      <c r="J15" s="340">
        <f t="shared" si="0"/>
        <v>0</v>
      </c>
      <c r="K15" s="340">
        <f t="shared" si="1"/>
        <v>0</v>
      </c>
    </row>
    <row r="16" spans="2:13" x14ac:dyDescent="0.3">
      <c r="B16" s="338" t="s">
        <v>175</v>
      </c>
      <c r="C16" s="345" t="s">
        <v>60</v>
      </c>
      <c r="D16" s="341">
        <v>0.2</v>
      </c>
      <c r="E16" s="340">
        <v>0</v>
      </c>
      <c r="F16" s="340">
        <v>0</v>
      </c>
      <c r="G16" s="340">
        <f>IF($C$16="ja",$D$16*(Ertrag!E$17+Ertrag!E$19),0)</f>
        <v>2.9760000000000004</v>
      </c>
      <c r="H16" s="340">
        <f>IF($C$16="ja",$D$16*(Ertrag!F$17+Ertrag!F$19),0)</f>
        <v>8.9280000000000008</v>
      </c>
      <c r="I16" s="340">
        <f>IF($C$16="ja",$D$16*(Ertrag!G$17+Ertrag!G$19),0)</f>
        <v>31.248000000000005</v>
      </c>
      <c r="J16" s="340">
        <f t="shared" ref="J16:J19" si="2">(H16*10+I16*30)/40</f>
        <v>25.668000000000006</v>
      </c>
      <c r="K16" s="340">
        <f t="shared" si="1"/>
        <v>20.832000000000004</v>
      </c>
    </row>
    <row r="17" spans="1:14" x14ac:dyDescent="0.3">
      <c r="B17" s="338" t="s">
        <v>176</v>
      </c>
      <c r="C17" s="339"/>
      <c r="D17" s="341">
        <v>0.1</v>
      </c>
      <c r="E17" s="340">
        <v>0</v>
      </c>
      <c r="F17" s="340">
        <f>0.1*SUM(Ertrag!D16:D19)</f>
        <v>0</v>
      </c>
      <c r="G17" s="340">
        <f>0.1*SUM(Ertrag!E16:E19)</f>
        <v>1.6</v>
      </c>
      <c r="H17" s="340">
        <f>0.1*SUM(Ertrag!F16:F19)</f>
        <v>4.8000000000000007</v>
      </c>
      <c r="I17" s="340">
        <f>0.1*SUM(Ertrag!G16:G19)</f>
        <v>16.8</v>
      </c>
      <c r="J17" s="340">
        <f t="shared" si="2"/>
        <v>13.8</v>
      </c>
      <c r="K17" s="340">
        <f t="shared" si="1"/>
        <v>11.2</v>
      </c>
    </row>
    <row r="18" spans="1:14" x14ac:dyDescent="0.3">
      <c r="B18" s="338" t="s">
        <v>177</v>
      </c>
      <c r="C18" s="339"/>
      <c r="D18" s="341">
        <v>4</v>
      </c>
      <c r="E18" s="340">
        <f>4*Übersicht!$C$4*Arbeitszeit!$D$18</f>
        <v>16</v>
      </c>
      <c r="F18" s="340">
        <f>2*Übersicht!$C$4*Arbeitszeit!$D$18</f>
        <v>8</v>
      </c>
      <c r="G18" s="340">
        <f>Übersicht!$C$4*Arbeitszeit!$D$18</f>
        <v>4</v>
      </c>
      <c r="H18" s="340">
        <f>Übersicht!$C$4*Arbeitszeit!$D$18</f>
        <v>4</v>
      </c>
      <c r="I18" s="340">
        <f>Übersicht!$C$4*Arbeitszeit!$D$18</f>
        <v>4</v>
      </c>
      <c r="J18" s="340">
        <f t="shared" si="2"/>
        <v>4</v>
      </c>
      <c r="K18" s="340">
        <f t="shared" si="1"/>
        <v>4.4000000000000004</v>
      </c>
    </row>
    <row r="19" spans="1:14" x14ac:dyDescent="0.3">
      <c r="B19" s="338" t="s">
        <v>42</v>
      </c>
      <c r="C19" s="339"/>
      <c r="D19" s="341">
        <v>5</v>
      </c>
      <c r="E19" s="340">
        <f>2*D19</f>
        <v>10</v>
      </c>
      <c r="F19" s="340">
        <f>D19</f>
        <v>5</v>
      </c>
      <c r="G19" s="340">
        <f>D19</f>
        <v>5</v>
      </c>
      <c r="H19" s="340">
        <f>D19</f>
        <v>5</v>
      </c>
      <c r="I19" s="340">
        <f>D19</f>
        <v>5</v>
      </c>
      <c r="J19" s="340">
        <f t="shared" si="2"/>
        <v>5</v>
      </c>
      <c r="K19" s="340">
        <f t="shared" si="1"/>
        <v>5</v>
      </c>
    </row>
    <row r="20" spans="1:14" x14ac:dyDescent="0.3">
      <c r="B20" s="338" t="s">
        <v>23</v>
      </c>
      <c r="C20" s="339"/>
      <c r="D20" s="433">
        <v>0</v>
      </c>
      <c r="E20" s="340">
        <f>D20</f>
        <v>0</v>
      </c>
      <c r="F20" s="338">
        <f>D20</f>
        <v>0</v>
      </c>
      <c r="G20" s="340">
        <f>D20</f>
        <v>0</v>
      </c>
      <c r="H20" s="338">
        <f>D20</f>
        <v>0</v>
      </c>
      <c r="I20" s="338">
        <f>D20</f>
        <v>0</v>
      </c>
      <c r="J20" s="340"/>
      <c r="K20" s="339"/>
    </row>
    <row r="21" spans="1:14" x14ac:dyDescent="0.3">
      <c r="B21" s="346" t="s">
        <v>144</v>
      </c>
      <c r="C21" s="347"/>
      <c r="D21" s="348"/>
      <c r="E21" s="348">
        <f>SUM(E5:E19)</f>
        <v>135.80000000000001</v>
      </c>
      <c r="F21" s="346">
        <f>SUM(F5:F19)</f>
        <v>90.4</v>
      </c>
      <c r="G21" s="348">
        <f>SUM(G5:G19)</f>
        <v>100.12266666666667</v>
      </c>
      <c r="H21" s="346">
        <f>SUM(H5:H19)</f>
        <v>116.86799999999999</v>
      </c>
      <c r="I21" s="346">
        <f>SUM(I5:I19)</f>
        <v>163.78800000000001</v>
      </c>
      <c r="J21" s="348">
        <f>(H21*10+I21*30)/40</f>
        <v>152.05799999999999</v>
      </c>
      <c r="K21" s="347">
        <f>(F21*5+G21*5+H21*10+I21*30)/50</f>
        <v>140.69866666666667</v>
      </c>
    </row>
    <row r="22" spans="1:14" s="351" customFormat="1" x14ac:dyDescent="0.3">
      <c r="A22" s="349"/>
      <c r="B22" s="349"/>
      <c r="C22" s="350"/>
      <c r="D22" s="350"/>
      <c r="E22" s="350"/>
      <c r="F22" s="349"/>
      <c r="G22" s="350"/>
      <c r="H22" s="350"/>
      <c r="I22" s="350"/>
      <c r="J22" s="350"/>
      <c r="K22" s="350"/>
      <c r="N22" s="323"/>
    </row>
    <row r="23" spans="1:14" x14ac:dyDescent="0.3">
      <c r="A23" s="352"/>
      <c r="B23" s="353" t="s">
        <v>30</v>
      </c>
      <c r="C23" s="354"/>
      <c r="D23" s="355"/>
      <c r="E23" s="355"/>
      <c r="F23" s="355"/>
      <c r="G23" s="355"/>
      <c r="H23" s="355"/>
      <c r="I23" s="355"/>
      <c r="J23" s="355"/>
      <c r="K23" s="355"/>
      <c r="N23" s="351"/>
    </row>
    <row r="24" spans="1:14" x14ac:dyDescent="0.3">
      <c r="B24" s="356" t="s">
        <v>26</v>
      </c>
      <c r="C24" s="357"/>
      <c r="D24" s="341">
        <v>0</v>
      </c>
      <c r="E24" s="358">
        <f>D24*Übersicht!C4</f>
        <v>0</v>
      </c>
      <c r="F24" s="359">
        <v>0</v>
      </c>
      <c r="G24" s="358">
        <v>0</v>
      </c>
      <c r="H24" s="359">
        <v>0</v>
      </c>
      <c r="I24" s="358">
        <v>0</v>
      </c>
      <c r="J24" s="359"/>
      <c r="K24" s="360"/>
    </row>
    <row r="25" spans="1:14" x14ac:dyDescent="0.3">
      <c r="B25" s="338" t="s">
        <v>88</v>
      </c>
      <c r="C25" s="341" t="s">
        <v>60</v>
      </c>
      <c r="D25" s="341">
        <v>3</v>
      </c>
      <c r="E25" s="340">
        <f>IF($C$25="ja",$D$25*Übersicht!$C$4, 0)</f>
        <v>3</v>
      </c>
      <c r="F25" s="340">
        <f>IF($C$25="ja",$D$25*Übersicht!$C$4, 0)</f>
        <v>3</v>
      </c>
      <c r="G25" s="340">
        <f>IF($C$25="ja",$D$25*Übersicht!$C$4, 0)</f>
        <v>3</v>
      </c>
      <c r="H25" s="340">
        <f>IF($C$25="ja",$D$25*Übersicht!$C$4*1.5, 0)</f>
        <v>4.5</v>
      </c>
      <c r="I25" s="340">
        <f>IF($C$25="ja",$D$25*Übersicht!$C$4*1.5, 0)</f>
        <v>4.5</v>
      </c>
      <c r="J25" s="340"/>
      <c r="K25" s="339"/>
    </row>
    <row r="26" spans="1:14" x14ac:dyDescent="0.3">
      <c r="B26" s="361" t="s">
        <v>89</v>
      </c>
      <c r="C26" s="345" t="s">
        <v>96</v>
      </c>
      <c r="D26" s="341">
        <v>10</v>
      </c>
      <c r="E26" s="362">
        <f>IF($C$26="ja",$D$26*Übersicht!$C$4, 0)</f>
        <v>0</v>
      </c>
      <c r="F26" s="362">
        <f>IF($C$26="ja",$D$26*Übersicht!$C$4, 0)</f>
        <v>0</v>
      </c>
      <c r="G26" s="362">
        <f>IF($C$26="ja",$D$26*Übersicht!$C$4, 0)</f>
        <v>0</v>
      </c>
      <c r="H26" s="362">
        <f>IF($C$26="ja",$D$26*Übersicht!$C$4*1.2, 0)</f>
        <v>0</v>
      </c>
      <c r="I26" s="362">
        <f>IF($C$26="ja",$D$26*Übersicht!$C$4*1.2, 0)</f>
        <v>0</v>
      </c>
      <c r="J26" s="362"/>
      <c r="K26" s="344"/>
    </row>
    <row r="27" spans="1:14" x14ac:dyDescent="0.3">
      <c r="B27" s="346" t="s">
        <v>145</v>
      </c>
      <c r="C27" s="347"/>
      <c r="D27" s="347"/>
      <c r="E27" s="348">
        <f>SUM(E24:E26)</f>
        <v>3</v>
      </c>
      <c r="F27" s="348">
        <f t="shared" ref="F27:I27" si="3">SUM(F24:F26)</f>
        <v>3</v>
      </c>
      <c r="G27" s="348">
        <f t="shared" si="3"/>
        <v>3</v>
      </c>
      <c r="H27" s="348">
        <f t="shared" si="3"/>
        <v>4.5</v>
      </c>
      <c r="I27" s="347">
        <f t="shared" si="3"/>
        <v>4.5</v>
      </c>
      <c r="J27" s="348">
        <f>(H27*10+I27*30)/40</f>
        <v>4.5</v>
      </c>
      <c r="K27" s="347">
        <f>(F27*5+G27*5+H27*10+I27*30)/50</f>
        <v>4.2</v>
      </c>
    </row>
    <row r="28" spans="1:14" s="349" customFormat="1" x14ac:dyDescent="0.3">
      <c r="N28" s="323"/>
    </row>
    <row r="29" spans="1:14" x14ac:dyDescent="0.3">
      <c r="B29" s="363" t="s">
        <v>146</v>
      </c>
      <c r="C29" s="364"/>
      <c r="D29" s="363"/>
      <c r="E29" s="363">
        <f t="shared" ref="E29:K29" si="4">E27+E21</f>
        <v>138.80000000000001</v>
      </c>
      <c r="F29" s="363">
        <f t="shared" si="4"/>
        <v>93.4</v>
      </c>
      <c r="G29" s="363">
        <f t="shared" si="4"/>
        <v>103.12266666666667</v>
      </c>
      <c r="H29" s="363">
        <f t="shared" si="4"/>
        <v>121.36799999999999</v>
      </c>
      <c r="I29" s="363">
        <f t="shared" si="4"/>
        <v>168.28800000000001</v>
      </c>
      <c r="J29" s="363">
        <f t="shared" si="4"/>
        <v>156.55799999999999</v>
      </c>
      <c r="K29" s="365">
        <f t="shared" si="4"/>
        <v>144.89866666666666</v>
      </c>
      <c r="N29" s="349"/>
    </row>
    <row r="31" spans="1:14" x14ac:dyDescent="0.3">
      <c r="B31" s="366" t="s">
        <v>94</v>
      </c>
    </row>
    <row r="32" spans="1:14" x14ac:dyDescent="0.3">
      <c r="B32" s="356"/>
      <c r="C32" s="358"/>
      <c r="D32" s="358"/>
      <c r="E32" s="359"/>
      <c r="F32" s="358"/>
      <c r="G32" s="359"/>
      <c r="H32" s="358"/>
      <c r="I32" s="359"/>
      <c r="J32" s="367" t="s">
        <v>33</v>
      </c>
    </row>
    <row r="33" spans="2:17" s="368" customFormat="1" x14ac:dyDescent="0.3">
      <c r="B33" s="369" t="s">
        <v>90</v>
      </c>
      <c r="C33" s="370"/>
      <c r="D33" s="371"/>
      <c r="E33" s="372">
        <f>Übersicht!$H4/Übersicht!$C$5</f>
        <v>2.5000000000000001E-2</v>
      </c>
      <c r="F33" s="371">
        <f>Übersicht!$H5/Übersicht!$C$5</f>
        <v>3.7499999999999999E-2</v>
      </c>
      <c r="G33" s="372">
        <f>Übersicht!$H6/Übersicht!$C$5</f>
        <v>6.25E-2</v>
      </c>
      <c r="H33" s="371">
        <f>Übersicht!$H7/Übersicht!$C$5</f>
        <v>0.125</v>
      </c>
      <c r="I33" s="372">
        <f>Übersicht!$H8/Übersicht!$C$5</f>
        <v>0.75</v>
      </c>
      <c r="J33" s="373">
        <f>SUM(E33:I33)</f>
        <v>1</v>
      </c>
      <c r="N33" s="323"/>
    </row>
    <row r="34" spans="2:17" x14ac:dyDescent="0.3">
      <c r="B34" s="374" t="s">
        <v>91</v>
      </c>
      <c r="C34" s="375"/>
      <c r="D34" s="375"/>
      <c r="E34" s="376">
        <f t="shared" ref="E34:I34" si="5">E29*E33</f>
        <v>3.4700000000000006</v>
      </c>
      <c r="F34" s="376">
        <f t="shared" si="5"/>
        <v>3.5024999999999999</v>
      </c>
      <c r="G34" s="376">
        <f t="shared" si="5"/>
        <v>6.4451666666666672</v>
      </c>
      <c r="H34" s="376">
        <f t="shared" si="5"/>
        <v>15.170999999999999</v>
      </c>
      <c r="I34" s="376">
        <f t="shared" si="5"/>
        <v>126.21600000000001</v>
      </c>
      <c r="J34" s="376">
        <f>SUM(E34:I34)</f>
        <v>154.80466666666666</v>
      </c>
      <c r="N34" s="368"/>
    </row>
    <row r="35" spans="2:17" x14ac:dyDescent="0.3">
      <c r="M35" s="377"/>
      <c r="O35" s="377"/>
      <c r="P35" s="377"/>
      <c r="Q35" s="377"/>
    </row>
    <row r="36" spans="2:17" x14ac:dyDescent="0.3">
      <c r="N36" s="377"/>
    </row>
    <row r="38" spans="2:17" x14ac:dyDescent="0.3">
      <c r="B38" s="378" t="str">
        <f>Übersicht!$B$50</f>
        <v>Erstellt: Clarissa Schmelzle, LfL - Agrarökologie und Biologischer Landbau IAB 4a, Version 2, Stand: 18.12.2024</v>
      </c>
    </row>
  </sheetData>
  <sheetProtection algorithmName="SHA-512" hashValue="tAlR7tLHOHoksuabTKAojT9pfc6MUBJxQqlS3xY1Ldy6ZylGkITRp/jOarYg0OZBq7EiBp0Qybnnk54B3O9z9A==" saltValue="iQ9RSL4JBj7Z0G7S2EwJvg==" spinCount="100000" sheet="1" objects="1" scenarios="1"/>
  <conditionalFormatting sqref="C15:C16">
    <cfRule type="expression" dxfId="10" priority="3">
      <formula>IF($C$16=$C$15,TRUE,FALSE)</formula>
    </cfRule>
  </conditionalFormatting>
  <conditionalFormatting sqref="C25:C26">
    <cfRule type="expression" dxfId="9" priority="1">
      <formula>IF($C$25=$C$26,TRUE,FALSE)</formula>
    </cfRule>
  </conditionalFormatting>
  <dataValidations count="1">
    <dataValidation type="list" allowBlank="1" showInputMessage="1" showErrorMessage="1" sqref="C15:C16 C25:C26" xr:uid="{3F448059-7742-4BB6-AEFD-EEA93A0CE0A3}">
      <formula1>"ja,nein"</formula1>
    </dataValidation>
  </dataValidations>
  <pageMargins left="0.7" right="0.7" top="0.78740157499999996" bottom="0.78740157499999996" header="0.3" footer="0.3"/>
  <pageSetup paperSize="9" orientation="portrait" r:id="rId1"/>
  <ignoredErrors>
    <ignoredError sqref="F7"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D813-70DB-4EC6-BC4E-7E49D70288FF}">
  <sheetPr codeName="Tabelle3">
    <tabColor rgb="FFC00000"/>
  </sheetPr>
  <dimension ref="A1:J37"/>
  <sheetViews>
    <sheetView showGridLines="0" workbookViewId="0"/>
  </sheetViews>
  <sheetFormatPr baseColWidth="10" defaultRowHeight="14.4" x14ac:dyDescent="0.3"/>
  <cols>
    <col min="1" max="1" width="2" style="379" customWidth="1"/>
    <col min="2" max="2" width="26.44140625" style="379" customWidth="1"/>
    <col min="3" max="3" width="11.5546875" style="379"/>
    <col min="4" max="4" width="14.44140625" style="379" bestFit="1" customWidth="1"/>
    <col min="5" max="7" width="13.44140625" style="379" bestFit="1" customWidth="1"/>
    <col min="8" max="8" width="11.5546875" style="379" customWidth="1"/>
    <col min="9" max="9" width="16" style="379" customWidth="1"/>
    <col min="10" max="10" width="15.77734375" style="379" customWidth="1"/>
    <col min="11" max="16384" width="11.5546875" style="379"/>
  </cols>
  <sheetData>
    <row r="1" spans="1:10" s="399" customFormat="1" ht="18" x14ac:dyDescent="0.35">
      <c r="A1" s="396"/>
      <c r="B1" s="397" t="s">
        <v>38</v>
      </c>
      <c r="C1" s="398"/>
      <c r="E1" s="400" t="s">
        <v>147</v>
      </c>
    </row>
    <row r="2" spans="1:10" s="399" customFormat="1" ht="14.4" customHeight="1" x14ac:dyDescent="0.35">
      <c r="B2" s="401"/>
      <c r="E2" s="400"/>
    </row>
    <row r="3" spans="1:10" s="399" customFormat="1" x14ac:dyDescent="0.3">
      <c r="B3" s="402" t="s">
        <v>29</v>
      </c>
    </row>
    <row r="4" spans="1:10" s="399" customFormat="1" ht="28.2" customHeight="1" x14ac:dyDescent="0.3">
      <c r="B4" s="403"/>
      <c r="C4" s="404" t="s">
        <v>165</v>
      </c>
      <c r="D4" s="405" t="s">
        <v>24</v>
      </c>
      <c r="E4" s="406" t="s">
        <v>20</v>
      </c>
      <c r="F4" s="407" t="s">
        <v>11</v>
      </c>
      <c r="G4" s="405" t="s">
        <v>12</v>
      </c>
      <c r="H4" s="407" t="s">
        <v>13</v>
      </c>
      <c r="I4" s="408" t="s">
        <v>202</v>
      </c>
      <c r="J4" s="409" t="s">
        <v>201</v>
      </c>
    </row>
    <row r="5" spans="1:10" s="399" customFormat="1" x14ac:dyDescent="0.3">
      <c r="B5" s="410" t="s">
        <v>39</v>
      </c>
      <c r="C5" s="152">
        <v>45</v>
      </c>
      <c r="D5" s="270">
        <f>C5*Übersicht!$C$5</f>
        <v>3600</v>
      </c>
      <c r="E5" s="270">
        <v>0</v>
      </c>
      <c r="F5" s="270">
        <v>0</v>
      </c>
      <c r="G5" s="270">
        <v>0</v>
      </c>
      <c r="H5" s="270">
        <v>0</v>
      </c>
      <c r="I5" s="270">
        <f t="shared" ref="I5:I10" si="0">(G5*10+H5*30)/40</f>
        <v>0</v>
      </c>
      <c r="J5" s="270">
        <f t="shared" ref="J5:J9" si="1">(E5*5+F5*5+G5*10+H5*30)/50</f>
        <v>0</v>
      </c>
    </row>
    <row r="6" spans="1:10" s="399" customFormat="1" x14ac:dyDescent="0.3">
      <c r="B6" s="410" t="s">
        <v>40</v>
      </c>
      <c r="C6" s="152">
        <v>13</v>
      </c>
      <c r="D6" s="270">
        <f>C6*Übersicht!$C$5</f>
        <v>1040</v>
      </c>
      <c r="E6" s="270">
        <v>0</v>
      </c>
      <c r="F6" s="270">
        <v>0</v>
      </c>
      <c r="G6" s="270">
        <v>0</v>
      </c>
      <c r="H6" s="270">
        <v>0</v>
      </c>
      <c r="I6" s="270">
        <f t="shared" si="0"/>
        <v>0</v>
      </c>
      <c r="J6" s="270">
        <f t="shared" si="1"/>
        <v>0</v>
      </c>
    </row>
    <row r="7" spans="1:10" s="399" customFormat="1" x14ac:dyDescent="0.3">
      <c r="B7" s="410" t="s">
        <v>86</v>
      </c>
      <c r="C7" s="152">
        <v>0.5</v>
      </c>
      <c r="D7" s="270">
        <f>$C$7*0</f>
        <v>0</v>
      </c>
      <c r="E7" s="270">
        <f>$C$7*Übersicht!$C$5</f>
        <v>40</v>
      </c>
      <c r="F7" s="270">
        <f>$C$7*Übersicht!$C$5</f>
        <v>40</v>
      </c>
      <c r="G7" s="270">
        <f>$C$7*Übersicht!$C$5</f>
        <v>40</v>
      </c>
      <c r="H7" s="270">
        <f>$C$7*Übersicht!$C$5</f>
        <v>40</v>
      </c>
      <c r="I7" s="270">
        <f t="shared" si="0"/>
        <v>40</v>
      </c>
      <c r="J7" s="270">
        <f t="shared" si="1"/>
        <v>40</v>
      </c>
    </row>
    <row r="8" spans="1:10" s="399" customFormat="1" x14ac:dyDescent="0.3">
      <c r="B8" s="410" t="s">
        <v>22</v>
      </c>
      <c r="C8" s="152">
        <v>0.5</v>
      </c>
      <c r="D8" s="270">
        <f>$C$8*Übersicht!$C$5</f>
        <v>40</v>
      </c>
      <c r="E8" s="270">
        <f>$C$8*Übersicht!$C$5</f>
        <v>40</v>
      </c>
      <c r="F8" s="270">
        <f>$C$8*Übersicht!$C$5</f>
        <v>40</v>
      </c>
      <c r="G8" s="270">
        <f>$C$8*Übersicht!$C$5</f>
        <v>40</v>
      </c>
      <c r="H8" s="270">
        <f>$C$8*Übersicht!$C$5</f>
        <v>40</v>
      </c>
      <c r="I8" s="270">
        <f t="shared" si="0"/>
        <v>40</v>
      </c>
      <c r="J8" s="270">
        <f t="shared" si="1"/>
        <v>40</v>
      </c>
    </row>
    <row r="9" spans="1:10" s="399" customFormat="1" x14ac:dyDescent="0.3">
      <c r="B9" s="410" t="s">
        <v>132</v>
      </c>
      <c r="C9" s="152">
        <v>10</v>
      </c>
      <c r="D9" s="270">
        <f>(Arbeitszeit!E12+Arbeitszeit!E16)*$C$9</f>
        <v>40</v>
      </c>
      <c r="E9" s="270">
        <f>(Arbeitszeit!F12+Arbeitszeit!F16)*$C$9</f>
        <v>40</v>
      </c>
      <c r="F9" s="270">
        <f>(Arbeitszeit!G12+Arbeitszeit!G16)*$C$9</f>
        <v>69.760000000000005</v>
      </c>
      <c r="G9" s="270">
        <f>(Arbeitszeit!H12+Arbeitszeit!H16)*$C$9</f>
        <v>129.28</v>
      </c>
      <c r="H9" s="270">
        <f>(Arbeitszeit!I12+Arbeitszeit!I16)*$C$9</f>
        <v>352.48</v>
      </c>
      <c r="I9" s="270">
        <f t="shared" si="0"/>
        <v>296.68</v>
      </c>
      <c r="J9" s="270">
        <f t="shared" si="1"/>
        <v>248.32000000000005</v>
      </c>
    </row>
    <row r="10" spans="1:10" s="399" customFormat="1" x14ac:dyDescent="0.3">
      <c r="B10" s="412" t="s">
        <v>133</v>
      </c>
      <c r="C10" s="152">
        <v>40</v>
      </c>
      <c r="D10" s="270">
        <f>(Arbeitszeit!E10+Arbeitszeit!E7+Arbeitszeit!E17)*$C$10</f>
        <v>448</v>
      </c>
      <c r="E10" s="270">
        <f>(Arbeitszeit!F10+Arbeitszeit!F7+Arbeitszeit!F17)*$C$10</f>
        <v>576</v>
      </c>
      <c r="F10" s="270">
        <f>(Arbeitszeit!G10+Arbeitszeit!G7+Arbeitszeit!G17)*$C$10</f>
        <v>192.00000000000003</v>
      </c>
      <c r="G10" s="270">
        <f>(Arbeitszeit!H10+Arbeitszeit!H7+Arbeitszeit!H17)*$C$10</f>
        <v>192.00000000000003</v>
      </c>
      <c r="H10" s="270">
        <f>(Arbeitszeit!I10+Arbeitszeit!I7+Arbeitszeit!I17)*$C$10</f>
        <v>672</v>
      </c>
      <c r="I10" s="270">
        <f t="shared" si="0"/>
        <v>552</v>
      </c>
      <c r="J10" s="270">
        <f>(E10*5+F10*5+G10*10+H10*30)/50</f>
        <v>518.4</v>
      </c>
    </row>
    <row r="11" spans="1:10" s="399" customFormat="1" x14ac:dyDescent="0.3">
      <c r="B11" s="410" t="s">
        <v>41</v>
      </c>
      <c r="C11" s="152">
        <v>20</v>
      </c>
      <c r="D11" s="270">
        <f>C11</f>
        <v>20</v>
      </c>
      <c r="E11" s="270">
        <f>$C$11/10</f>
        <v>2</v>
      </c>
      <c r="F11" s="270">
        <f t="shared" ref="F11:H11" si="2">$C$11/10</f>
        <v>2</v>
      </c>
      <c r="G11" s="270">
        <f t="shared" si="2"/>
        <v>2</v>
      </c>
      <c r="H11" s="270">
        <f t="shared" si="2"/>
        <v>2</v>
      </c>
      <c r="I11" s="270">
        <f>(G11*10+H11*30)/40</f>
        <v>2</v>
      </c>
      <c r="J11" s="270">
        <f>(E11*5+F11*5+G11*10+H11*30)/50</f>
        <v>2</v>
      </c>
    </row>
    <row r="12" spans="1:10" s="399" customFormat="1" x14ac:dyDescent="0.3">
      <c r="B12" s="410" t="s">
        <v>166</v>
      </c>
      <c r="C12" s="163" t="s">
        <v>96</v>
      </c>
      <c r="D12" s="270">
        <v>0</v>
      </c>
      <c r="E12" s="270">
        <v>0</v>
      </c>
      <c r="F12" s="270">
        <v>0</v>
      </c>
      <c r="G12" s="270">
        <f>IF($C$12="ja",300*Übersicht!C4,0)</f>
        <v>0</v>
      </c>
      <c r="H12" s="270">
        <f>IF($C$12="ja",500*Übersicht!C4,0)</f>
        <v>0</v>
      </c>
      <c r="I12" s="270">
        <f>(G12*10+H12*30)/40</f>
        <v>0</v>
      </c>
      <c r="J12" s="270">
        <f>(E12*5+F12*5+G12*10+H12*30)/50</f>
        <v>0</v>
      </c>
    </row>
    <row r="13" spans="1:10" s="399" customFormat="1" x14ac:dyDescent="0.3">
      <c r="B13" s="410" t="s">
        <v>167</v>
      </c>
      <c r="C13" s="152">
        <v>150</v>
      </c>
      <c r="D13" s="270">
        <f>IF(Übersicht!$C$8="ja",$C$13,0)</f>
        <v>150</v>
      </c>
      <c r="E13" s="270">
        <f>IF(Übersicht!$C$8="ja",$C$13,0)</f>
        <v>150</v>
      </c>
      <c r="F13" s="270">
        <f>IF(Übersicht!$C$8="ja",$C$13,0)</f>
        <v>150</v>
      </c>
      <c r="G13" s="270">
        <f>IF(Übersicht!$C$8="ja",$C$13,0)</f>
        <v>150</v>
      </c>
      <c r="H13" s="270">
        <f>IF(Übersicht!$C$8="ja",$C$13,0)</f>
        <v>150</v>
      </c>
      <c r="I13" s="270">
        <f>(G13*10+H13*30)/40</f>
        <v>150</v>
      </c>
      <c r="J13" s="270">
        <f>(E13*5+F13*5+G13*10+H13*30)/50</f>
        <v>150</v>
      </c>
    </row>
    <row r="14" spans="1:10" s="399" customFormat="1" x14ac:dyDescent="0.3">
      <c r="B14" s="410" t="s">
        <v>23</v>
      </c>
      <c r="C14" s="152">
        <v>500</v>
      </c>
      <c r="D14" s="270">
        <f>C14</f>
        <v>500</v>
      </c>
      <c r="E14" s="270">
        <f>C14/10</f>
        <v>50</v>
      </c>
      <c r="F14" s="270">
        <f>C14/10</f>
        <v>50</v>
      </c>
      <c r="G14" s="270">
        <f>C14/10</f>
        <v>50</v>
      </c>
      <c r="H14" s="270">
        <f>C14/10</f>
        <v>50</v>
      </c>
      <c r="I14" s="270">
        <f>(G14*10+H14*30)/40</f>
        <v>50</v>
      </c>
      <c r="J14" s="270">
        <f>(E14*5+F14*5+G14*10+H14*30)/50</f>
        <v>50</v>
      </c>
    </row>
    <row r="15" spans="1:10" s="399" customFormat="1" x14ac:dyDescent="0.3">
      <c r="B15" s="413" t="s">
        <v>148</v>
      </c>
      <c r="C15" s="414"/>
      <c r="D15" s="269">
        <f>SUM(D5:D14)</f>
        <v>5838</v>
      </c>
      <c r="E15" s="269">
        <f t="shared" ref="E15:H15" si="3">SUM(E5:E14)</f>
        <v>898</v>
      </c>
      <c r="F15" s="269">
        <f t="shared" si="3"/>
        <v>543.76</v>
      </c>
      <c r="G15" s="269">
        <f t="shared" si="3"/>
        <v>603.28</v>
      </c>
      <c r="H15" s="269">
        <f t="shared" si="3"/>
        <v>1306.48</v>
      </c>
      <c r="I15" s="269">
        <f t="shared" ref="I15" si="4">SUM(I5:I14)</f>
        <v>1130.68</v>
      </c>
      <c r="J15" s="269">
        <f t="shared" ref="J15" si="5">SUM(J5:J14)</f>
        <v>1048.72</v>
      </c>
    </row>
    <row r="16" spans="1:10" s="399" customFormat="1" x14ac:dyDescent="0.3">
      <c r="B16" s="415"/>
      <c r="C16" s="415"/>
      <c r="D16" s="415"/>
      <c r="E16" s="415"/>
      <c r="F16" s="415"/>
      <c r="G16" s="415"/>
      <c r="H16" s="415"/>
      <c r="I16" s="415"/>
      <c r="J16" s="415"/>
    </row>
    <row r="17" spans="2:10" s="411" customFormat="1" x14ac:dyDescent="0.3">
      <c r="B17" s="416" t="s">
        <v>30</v>
      </c>
      <c r="C17" s="417"/>
      <c r="D17" s="415"/>
      <c r="E17" s="415"/>
      <c r="F17" s="415"/>
      <c r="G17" s="415"/>
      <c r="H17" s="415"/>
      <c r="I17" s="415"/>
      <c r="J17" s="415"/>
    </row>
    <row r="18" spans="2:10" s="399" customFormat="1" x14ac:dyDescent="0.3">
      <c r="B18" s="403" t="s">
        <v>150</v>
      </c>
      <c r="C18" s="406"/>
      <c r="D18" s="418"/>
      <c r="E18" s="405"/>
      <c r="F18" s="407"/>
      <c r="G18" s="405"/>
      <c r="H18" s="407"/>
      <c r="I18" s="405"/>
      <c r="J18" s="406"/>
    </row>
    <row r="19" spans="2:10" s="399" customFormat="1" x14ac:dyDescent="0.3">
      <c r="B19" s="410" t="s">
        <v>87</v>
      </c>
      <c r="C19" s="152">
        <v>0</v>
      </c>
      <c r="D19" s="270">
        <f>C19*Übersicht!C4</f>
        <v>0</v>
      </c>
      <c r="E19" s="270">
        <v>0</v>
      </c>
      <c r="F19" s="270">
        <v>0</v>
      </c>
      <c r="G19" s="270">
        <v>0</v>
      </c>
      <c r="H19" s="270">
        <v>0</v>
      </c>
      <c r="I19" s="270">
        <f>(G19*10+H19*30)/40</f>
        <v>0</v>
      </c>
      <c r="J19" s="270">
        <f>(E19*5+F19*5+G19*10+H19*30)/50</f>
        <v>0</v>
      </c>
    </row>
    <row r="20" spans="2:10" s="399" customFormat="1" x14ac:dyDescent="0.3">
      <c r="B20" s="412" t="s">
        <v>131</v>
      </c>
      <c r="C20" s="152">
        <v>50</v>
      </c>
      <c r="D20" s="270">
        <f>$C$20*(Arbeitszeit!$E$24+Arbeitszeit!$E$25+Arbeitszeit!$E$26)</f>
        <v>150</v>
      </c>
      <c r="E20" s="270">
        <f>$C$20*(Arbeitszeit!F$24+Arbeitszeit!F$25+Arbeitszeit!F$26)</f>
        <v>150</v>
      </c>
      <c r="F20" s="270">
        <f>$C$20*(Arbeitszeit!G$24+Arbeitszeit!G$25+Arbeitszeit!G$26)</f>
        <v>150</v>
      </c>
      <c r="G20" s="270">
        <f>$C$20*(Arbeitszeit!H$24+Arbeitszeit!H$25+Arbeitszeit!H$26)</f>
        <v>225</v>
      </c>
      <c r="H20" s="270">
        <f>$C$20*(Arbeitszeit!I$24+Arbeitszeit!I$25+Arbeitszeit!I$26)</f>
        <v>225</v>
      </c>
      <c r="I20" s="270">
        <f>(G20*10+H20*30)/40</f>
        <v>225</v>
      </c>
      <c r="J20" s="270">
        <f>(E20*5+F20*5+G20*10+H20*30)/50</f>
        <v>210</v>
      </c>
    </row>
    <row r="21" spans="2:10" s="399" customFormat="1" x14ac:dyDescent="0.3">
      <c r="B21" s="410" t="s">
        <v>23</v>
      </c>
      <c r="C21" s="434">
        <v>0</v>
      </c>
      <c r="D21" s="270">
        <f>C21</f>
        <v>0</v>
      </c>
      <c r="E21" s="270">
        <f>C21</f>
        <v>0</v>
      </c>
      <c r="F21" s="270">
        <f>C21</f>
        <v>0</v>
      </c>
      <c r="G21" s="270">
        <f>C21</f>
        <v>0</v>
      </c>
      <c r="H21" s="270">
        <f>C21</f>
        <v>0</v>
      </c>
      <c r="I21" s="270">
        <f>(G21*10+H21*30)/40</f>
        <v>0</v>
      </c>
      <c r="J21" s="270">
        <f>(E21*5+F21*5+G21*10+H21*30)/50</f>
        <v>0</v>
      </c>
    </row>
    <row r="22" spans="2:10" s="399" customFormat="1" x14ac:dyDescent="0.3">
      <c r="B22" s="419" t="s">
        <v>149</v>
      </c>
      <c r="C22" s="414"/>
      <c r="D22" s="269">
        <f>SUM(D19:D20)</f>
        <v>150</v>
      </c>
      <c r="E22" s="269">
        <f>SUM(E19:E20)</f>
        <v>150</v>
      </c>
      <c r="F22" s="269">
        <f>SUM(F19:F20)</f>
        <v>150</v>
      </c>
      <c r="G22" s="269">
        <f>SUM(G19:G20)</f>
        <v>225</v>
      </c>
      <c r="H22" s="269">
        <f>SUM(H19:H20)</f>
        <v>225</v>
      </c>
      <c r="I22" s="269">
        <f>(G22*10+H22*30)/40</f>
        <v>225</v>
      </c>
      <c r="J22" s="269">
        <f>(E22*5+F22*5+G22*10+H22*30)/50</f>
        <v>210</v>
      </c>
    </row>
    <row r="23" spans="2:10" s="415" customFormat="1" x14ac:dyDescent="0.3"/>
    <row r="24" spans="2:10" s="399" customFormat="1" x14ac:dyDescent="0.3">
      <c r="B24" s="420" t="s">
        <v>137</v>
      </c>
      <c r="C24" s="421"/>
      <c r="D24" s="422">
        <f>D15+D22</f>
        <v>5988</v>
      </c>
      <c r="E24" s="422">
        <f t="shared" ref="E24:J24" si="6">E15+E22</f>
        <v>1048</v>
      </c>
      <c r="F24" s="422">
        <f t="shared" si="6"/>
        <v>693.76</v>
      </c>
      <c r="G24" s="422">
        <f t="shared" si="6"/>
        <v>828.28</v>
      </c>
      <c r="H24" s="422">
        <f t="shared" si="6"/>
        <v>1531.48</v>
      </c>
      <c r="I24" s="422">
        <f t="shared" si="6"/>
        <v>1355.68</v>
      </c>
      <c r="J24" s="422">
        <f t="shared" si="6"/>
        <v>1258.72</v>
      </c>
    </row>
    <row r="25" spans="2:10" s="423" customFormat="1" x14ac:dyDescent="0.3">
      <c r="B25" s="424"/>
      <c r="C25" s="424"/>
      <c r="D25" s="424"/>
      <c r="E25" s="424"/>
      <c r="F25" s="424"/>
      <c r="G25" s="424"/>
      <c r="H25" s="424"/>
      <c r="I25" s="424"/>
    </row>
    <row r="26" spans="2:10" s="399" customFormat="1" x14ac:dyDescent="0.3">
      <c r="B26" s="402" t="s">
        <v>45</v>
      </c>
    </row>
    <row r="27" spans="2:10" s="399" customFormat="1" x14ac:dyDescent="0.3">
      <c r="B27" s="425" t="s">
        <v>46</v>
      </c>
      <c r="C27" s="425">
        <f>Übersicht!C17/40</f>
        <v>0</v>
      </c>
      <c r="D27" s="426" t="s">
        <v>50</v>
      </c>
    </row>
    <row r="28" spans="2:10" s="399" customFormat="1" x14ac:dyDescent="0.3">
      <c r="B28" s="427" t="s">
        <v>178</v>
      </c>
      <c r="C28" s="427">
        <f>Übersicht!C15/40</f>
        <v>725.55</v>
      </c>
      <c r="D28" s="428" t="s">
        <v>50</v>
      </c>
    </row>
    <row r="30" spans="2:10" x14ac:dyDescent="0.3">
      <c r="B30" s="380" t="s">
        <v>94</v>
      </c>
    </row>
    <row r="31" spans="2:10" x14ac:dyDescent="0.3">
      <c r="B31" s="383"/>
      <c r="C31" s="384"/>
      <c r="D31" s="385"/>
      <c r="E31" s="384"/>
      <c r="F31" s="385"/>
      <c r="G31" s="384"/>
      <c r="H31" s="385"/>
      <c r="I31" s="386" t="s">
        <v>33</v>
      </c>
    </row>
    <row r="32" spans="2:10" s="381" customFormat="1" x14ac:dyDescent="0.3">
      <c r="B32" s="387" t="s">
        <v>90</v>
      </c>
      <c r="C32" s="388"/>
      <c r="D32" s="389">
        <f>Übersicht!$H4/Übersicht!$C$5</f>
        <v>2.5000000000000001E-2</v>
      </c>
      <c r="E32" s="390">
        <f>Übersicht!$H5/Übersicht!$C$5</f>
        <v>3.7499999999999999E-2</v>
      </c>
      <c r="F32" s="389">
        <f>Übersicht!$H6/Übersicht!$C$5</f>
        <v>6.25E-2</v>
      </c>
      <c r="G32" s="390">
        <f>Übersicht!$H7/Übersicht!$C$5</f>
        <v>0.125</v>
      </c>
      <c r="H32" s="389">
        <f>Übersicht!$H8/Übersicht!$C$5</f>
        <v>0.75</v>
      </c>
      <c r="I32" s="391">
        <f>SUM(D32:H32)</f>
        <v>1</v>
      </c>
    </row>
    <row r="33" spans="2:9" x14ac:dyDescent="0.3">
      <c r="B33" s="392" t="s">
        <v>92</v>
      </c>
      <c r="C33" s="393"/>
      <c r="D33" s="394">
        <f>D24*D32</f>
        <v>149.70000000000002</v>
      </c>
      <c r="E33" s="393">
        <f>E24*E32</f>
        <v>39.299999999999997</v>
      </c>
      <c r="F33" s="394">
        <f>F24*F32</f>
        <v>43.36</v>
      </c>
      <c r="G33" s="393">
        <f>G24*G32</f>
        <v>103.535</v>
      </c>
      <c r="H33" s="394">
        <f>H24*H32</f>
        <v>1148.6100000000001</v>
      </c>
      <c r="I33" s="395">
        <f>SUM(D33:H33)</f>
        <v>1484.5050000000001</v>
      </c>
    </row>
    <row r="37" spans="2:9" x14ac:dyDescent="0.3">
      <c r="B37" s="382" t="str">
        <f>Übersicht!$B$50</f>
        <v>Erstellt: Clarissa Schmelzle, LfL - Agrarökologie und Biologischer Landbau IAB 4a, Version 2, Stand: 18.12.2024</v>
      </c>
    </row>
  </sheetData>
  <sheetProtection algorithmName="SHA-512" hashValue="fkEPPbrRItZaGr0NN2Q4RovYfiX1Am4VVTuMiRxmw3dkZUBDPvgAkR/FrccGwNhvvpIGtmaU7YFK3pmfws09RA==" saltValue="O4epF5cRnSqCi69KCOZVHg==" spinCount="100000" sheet="1" objects="1" scenarios="1"/>
  <dataValidations count="1">
    <dataValidation type="list" allowBlank="1" showInputMessage="1" showErrorMessage="1" sqref="C12" xr:uid="{81FCB72A-105A-41EC-814F-29A9A1CA9DFD}">
      <formula1>"ja,nein"</formula1>
    </dataValidation>
  </dataValidation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66709-BC2C-47B7-A90A-8042A3E9C0D8}">
  <sheetPr codeName="Tabelle5">
    <tabColor theme="8" tint="-0.249977111117893"/>
  </sheetPr>
  <dimension ref="A1:Q36"/>
  <sheetViews>
    <sheetView showGridLines="0" zoomScaleNormal="100" workbookViewId="0"/>
  </sheetViews>
  <sheetFormatPr baseColWidth="10" defaultRowHeight="14.4" x14ac:dyDescent="0.3"/>
  <cols>
    <col min="1" max="1" width="2.21875" style="26" customWidth="1"/>
    <col min="2" max="2" width="5.33203125" customWidth="1"/>
    <col min="3" max="3" width="42.6640625" customWidth="1"/>
    <col min="4" max="4" width="9.5546875" customWidth="1"/>
    <col min="5" max="5" width="10.77734375" customWidth="1"/>
    <col min="6" max="6" width="9.6640625" customWidth="1"/>
    <col min="7" max="7" width="8" customWidth="1"/>
    <col min="8" max="9" width="14.88671875" customWidth="1"/>
    <col min="10" max="10" width="14.21875" customWidth="1"/>
    <col min="11" max="11" width="8.77734375" style="26" customWidth="1"/>
    <col min="12" max="12" width="18.88671875" customWidth="1"/>
    <col min="13" max="13" width="8.77734375" customWidth="1"/>
    <col min="14" max="14" width="20.109375" customWidth="1"/>
  </cols>
  <sheetData>
    <row r="1" spans="2:14" s="26" customFormat="1" ht="18" x14ac:dyDescent="0.35">
      <c r="B1" s="320" t="s">
        <v>34</v>
      </c>
      <c r="C1" s="321"/>
      <c r="D1" s="15" t="s">
        <v>139</v>
      </c>
    </row>
    <row r="2" spans="2:14" s="26" customFormat="1" ht="13.8" customHeight="1" x14ac:dyDescent="0.3">
      <c r="B2" s="429"/>
      <c r="D2" s="15"/>
      <c r="J2" s="7"/>
    </row>
    <row r="3" spans="2:14" s="26" customFormat="1" ht="13.8" customHeight="1" x14ac:dyDescent="0.3">
      <c r="B3" s="431" t="s">
        <v>246</v>
      </c>
      <c r="D3" s="15"/>
      <c r="J3" s="7"/>
    </row>
    <row r="4" spans="2:14" s="26" customFormat="1" ht="13.8" customHeight="1" x14ac:dyDescent="0.3">
      <c r="B4" s="431" t="s">
        <v>241</v>
      </c>
      <c r="D4" s="15"/>
      <c r="J4" s="115"/>
    </row>
    <row r="5" spans="2:14" ht="30" customHeight="1" x14ac:dyDescent="0.3">
      <c r="B5" s="112"/>
      <c r="C5" s="117"/>
      <c r="D5" s="80" t="s">
        <v>85</v>
      </c>
      <c r="E5" s="118" t="s">
        <v>65</v>
      </c>
      <c r="F5" s="79" t="s">
        <v>36</v>
      </c>
      <c r="G5" s="244" t="s">
        <v>109</v>
      </c>
      <c r="H5" s="245" t="s">
        <v>168</v>
      </c>
      <c r="I5" s="135" t="s">
        <v>84</v>
      </c>
      <c r="J5" s="430" t="s">
        <v>83</v>
      </c>
      <c r="L5" s="245" t="s">
        <v>151</v>
      </c>
      <c r="M5" s="253"/>
      <c r="N5" s="254" t="s">
        <v>94</v>
      </c>
    </row>
    <row r="6" spans="2:14" x14ac:dyDescent="0.3">
      <c r="B6" s="119" t="s">
        <v>113</v>
      </c>
      <c r="C6" s="120"/>
      <c r="D6" s="121"/>
      <c r="E6" s="122"/>
      <c r="F6" s="123"/>
      <c r="G6" s="246"/>
      <c r="H6" s="247"/>
      <c r="I6" s="239"/>
      <c r="J6" s="239"/>
      <c r="L6" s="247"/>
      <c r="M6" s="253"/>
      <c r="N6" s="255"/>
    </row>
    <row r="7" spans="2:14" x14ac:dyDescent="0.3">
      <c r="B7" s="113"/>
      <c r="C7" s="7" t="s">
        <v>79</v>
      </c>
      <c r="D7" s="32"/>
      <c r="E7" s="273"/>
      <c r="F7" s="274">
        <v>157</v>
      </c>
      <c r="G7" s="275">
        <v>1</v>
      </c>
      <c r="H7" s="276"/>
      <c r="I7" s="234"/>
      <c r="J7" s="234">
        <f>IF(Rechentabelle!A3, F7*Übersicht!$C$4, 0)</f>
        <v>0</v>
      </c>
      <c r="K7" s="5"/>
      <c r="L7" s="277">
        <f>J7*50</f>
        <v>0</v>
      </c>
      <c r="M7" s="278"/>
      <c r="N7" s="258">
        <f>J7</f>
        <v>0</v>
      </c>
    </row>
    <row r="8" spans="2:14" x14ac:dyDescent="0.3">
      <c r="B8" s="113"/>
      <c r="C8" s="7" t="s">
        <v>80</v>
      </c>
      <c r="D8" s="32"/>
      <c r="E8" s="273"/>
      <c r="F8" s="274">
        <v>69</v>
      </c>
      <c r="G8" s="275">
        <v>1</v>
      </c>
      <c r="H8" s="276"/>
      <c r="I8" s="234"/>
      <c r="J8" s="234">
        <f>IF(Rechentabelle!A4, F8*Übersicht!$C$4, 0)</f>
        <v>0</v>
      </c>
      <c r="K8" s="5"/>
      <c r="L8" s="277">
        <f>J8*50</f>
        <v>0</v>
      </c>
      <c r="M8" s="278"/>
      <c r="N8" s="258">
        <f>J8</f>
        <v>0</v>
      </c>
    </row>
    <row r="9" spans="2:14" x14ac:dyDescent="0.3">
      <c r="B9" s="127"/>
      <c r="C9" s="115" t="s">
        <v>81</v>
      </c>
      <c r="D9" s="35"/>
      <c r="E9" s="279"/>
      <c r="F9" s="280">
        <v>240</v>
      </c>
      <c r="G9" s="281">
        <v>1</v>
      </c>
      <c r="H9" s="264"/>
      <c r="I9" s="235"/>
      <c r="J9" s="235">
        <f>IF(Rechentabelle!A5, F9*Übersicht!$C$4, 0)</f>
        <v>0</v>
      </c>
      <c r="K9" s="5"/>
      <c r="L9" s="256">
        <f>J9*50</f>
        <v>0</v>
      </c>
      <c r="M9" s="278"/>
      <c r="N9" s="259">
        <f>J9</f>
        <v>0</v>
      </c>
    </row>
    <row r="10" spans="2:14" x14ac:dyDescent="0.3">
      <c r="B10" s="128" t="s">
        <v>114</v>
      </c>
      <c r="C10" s="129"/>
      <c r="D10" s="131" t="s">
        <v>16</v>
      </c>
      <c r="E10" s="282"/>
      <c r="F10" s="283"/>
      <c r="G10" s="284"/>
      <c r="H10" s="257"/>
      <c r="I10" s="241"/>
      <c r="J10" s="241"/>
      <c r="K10" s="5"/>
      <c r="L10" s="257"/>
      <c r="M10" s="278"/>
      <c r="N10" s="262"/>
    </row>
    <row r="11" spans="2:14" x14ac:dyDescent="0.3">
      <c r="B11" s="113"/>
      <c r="C11" s="114" t="s">
        <v>66</v>
      </c>
      <c r="D11" s="116"/>
      <c r="E11" s="285">
        <v>105</v>
      </c>
      <c r="F11" s="270"/>
      <c r="G11" s="275">
        <v>5</v>
      </c>
      <c r="H11" s="276"/>
      <c r="I11" s="232">
        <f>IF(Rechentabelle!A6,0.9*E11*Übersicht!C5,0)</f>
        <v>0</v>
      </c>
      <c r="J11" s="232"/>
      <c r="K11" s="5"/>
      <c r="L11" s="286"/>
      <c r="M11" s="278"/>
      <c r="N11" s="258">
        <f>IF(Rechentabelle!A6,E11*Übersicht!$H$4,0)</f>
        <v>0</v>
      </c>
    </row>
    <row r="12" spans="2:14" x14ac:dyDescent="0.3">
      <c r="B12" s="113"/>
      <c r="C12" s="114" t="s">
        <v>68</v>
      </c>
      <c r="D12" s="116"/>
      <c r="E12" s="285">
        <v>45</v>
      </c>
      <c r="F12" s="270"/>
      <c r="G12" s="275">
        <v>5</v>
      </c>
      <c r="H12" s="276"/>
      <c r="I12" s="232">
        <f>IF(Rechentabelle!A7,0.9*E12*Übersicht!C5,0)</f>
        <v>0</v>
      </c>
      <c r="J12" s="232"/>
      <c r="K12" s="5"/>
      <c r="L12" s="286"/>
      <c r="M12" s="278"/>
      <c r="N12" s="258">
        <f>IF(Rechentabelle!A7,E12*Übersicht!$H$4,0)</f>
        <v>0</v>
      </c>
    </row>
    <row r="13" spans="2:14" x14ac:dyDescent="0.3">
      <c r="B13" s="113"/>
      <c r="C13" s="114" t="s">
        <v>67</v>
      </c>
      <c r="D13" s="116"/>
      <c r="E13" s="285">
        <v>55</v>
      </c>
      <c r="F13" s="270"/>
      <c r="G13" s="275">
        <v>5</v>
      </c>
      <c r="H13" s="276"/>
      <c r="I13" s="232">
        <f>IF(Rechentabelle!A8,0.9*E13*Übersicht!C5,0)</f>
        <v>0</v>
      </c>
      <c r="J13" s="232"/>
      <c r="K13" s="5"/>
      <c r="L13" s="286"/>
      <c r="M13" s="278"/>
      <c r="N13" s="258">
        <f>IF(Rechentabelle!A8,E13*Übersicht!$H$4,0)</f>
        <v>0</v>
      </c>
    </row>
    <row r="14" spans="2:14" x14ac:dyDescent="0.3">
      <c r="B14" s="113"/>
      <c r="C14" s="114" t="s">
        <v>69</v>
      </c>
      <c r="D14" s="116"/>
      <c r="E14" s="285">
        <v>50</v>
      </c>
      <c r="F14" s="270"/>
      <c r="G14" s="275">
        <v>5</v>
      </c>
      <c r="H14" s="276"/>
      <c r="I14" s="233">
        <f>IF(Rechentabelle!A9,0.9*E14*Übersicht!C5,0)</f>
        <v>0</v>
      </c>
      <c r="J14" s="233"/>
      <c r="K14" s="5"/>
      <c r="L14" s="287"/>
      <c r="M14" s="278"/>
      <c r="N14" s="258">
        <f>IF(Rechentabelle!A9,E14*Übersicht!$H$4,0)</f>
        <v>0</v>
      </c>
    </row>
    <row r="15" spans="2:14" x14ac:dyDescent="0.3">
      <c r="B15" s="113"/>
      <c r="C15" s="114" t="s">
        <v>70</v>
      </c>
      <c r="D15" s="153">
        <v>15</v>
      </c>
      <c r="E15" s="285">
        <v>30</v>
      </c>
      <c r="F15" s="270"/>
      <c r="G15" s="275">
        <v>5</v>
      </c>
      <c r="H15" s="276">
        <f t="shared" ref="H15:H17" si="0">E15/G15</f>
        <v>6</v>
      </c>
      <c r="I15" s="233"/>
      <c r="J15" s="233">
        <f>IF(Rechentabelle!A10,0.9*E15/G15*D15,0)</f>
        <v>0</v>
      </c>
      <c r="K15" s="5"/>
      <c r="L15" s="288">
        <f>J15*50</f>
        <v>0</v>
      </c>
      <c r="M15" s="278"/>
      <c r="N15" s="258">
        <f>IF(Rechentabelle!A10,E15/G15*D15,0)</f>
        <v>0</v>
      </c>
    </row>
    <row r="16" spans="2:14" x14ac:dyDescent="0.3">
      <c r="B16" s="113"/>
      <c r="C16" s="114" t="s">
        <v>71</v>
      </c>
      <c r="D16" s="154">
        <v>15</v>
      </c>
      <c r="E16" s="285">
        <v>60</v>
      </c>
      <c r="F16" s="270"/>
      <c r="G16" s="275">
        <v>5</v>
      </c>
      <c r="H16" s="276">
        <f t="shared" si="0"/>
        <v>12</v>
      </c>
      <c r="I16" s="234"/>
      <c r="J16" s="234">
        <f>IF(Rechentabelle!A11,0.9*E16/G16*D16,0)</f>
        <v>0</v>
      </c>
      <c r="K16" s="5"/>
      <c r="L16" s="277">
        <f t="shared" ref="L16:L17" si="1">J16*50</f>
        <v>0</v>
      </c>
      <c r="M16" s="278"/>
      <c r="N16" s="258">
        <f>IF(Rechentabelle!A11,E16/G16*D16,0)</f>
        <v>0</v>
      </c>
    </row>
    <row r="17" spans="2:17" x14ac:dyDescent="0.3">
      <c r="B17" s="113"/>
      <c r="C17" s="114" t="s">
        <v>72</v>
      </c>
      <c r="D17" s="155">
        <v>70</v>
      </c>
      <c r="E17" s="285">
        <v>150</v>
      </c>
      <c r="F17" s="270"/>
      <c r="G17" s="275">
        <v>5</v>
      </c>
      <c r="H17" s="276">
        <f t="shared" si="0"/>
        <v>30</v>
      </c>
      <c r="I17" s="232"/>
      <c r="J17" s="232">
        <f>IF(Rechentabelle!A12,0.9*E17/G17*D17,0)</f>
        <v>0</v>
      </c>
      <c r="K17" s="5"/>
      <c r="L17" s="289">
        <f t="shared" si="1"/>
        <v>0</v>
      </c>
      <c r="M17" s="278"/>
      <c r="N17" s="258">
        <f>IF(Rechentabelle!A12,E17/G17*D17,0)</f>
        <v>0</v>
      </c>
    </row>
    <row r="18" spans="2:17" x14ac:dyDescent="0.3">
      <c r="B18" s="128" t="s">
        <v>115</v>
      </c>
      <c r="C18" s="132"/>
      <c r="D18" s="133"/>
      <c r="E18" s="290"/>
      <c r="F18" s="291"/>
      <c r="G18" s="292"/>
      <c r="H18" s="293"/>
      <c r="I18" s="240"/>
      <c r="J18" s="240"/>
      <c r="K18" s="5"/>
      <c r="L18" s="293"/>
      <c r="M18" s="278"/>
      <c r="N18" s="260"/>
    </row>
    <row r="19" spans="2:17" x14ac:dyDescent="0.3">
      <c r="B19" s="113"/>
      <c r="C19" s="3" t="s">
        <v>73</v>
      </c>
      <c r="D19" s="34"/>
      <c r="E19" s="271">
        <v>12</v>
      </c>
      <c r="F19" s="272"/>
      <c r="G19" s="275">
        <v>1</v>
      </c>
      <c r="H19" s="276">
        <v>12</v>
      </c>
      <c r="I19" s="234"/>
      <c r="J19" s="234">
        <f>IF(Rechentabelle!A13,E19*Übersicht!C5,0)</f>
        <v>0</v>
      </c>
      <c r="K19" s="5"/>
      <c r="L19" s="277">
        <f>J19*50</f>
        <v>0</v>
      </c>
      <c r="M19" s="278"/>
      <c r="N19" s="258">
        <f>J19</f>
        <v>0</v>
      </c>
    </row>
    <row r="20" spans="2:17" x14ac:dyDescent="0.3">
      <c r="B20" s="127"/>
      <c r="C20" s="108" t="s">
        <v>74</v>
      </c>
      <c r="D20" s="35"/>
      <c r="E20" s="294"/>
      <c r="F20" s="295">
        <v>0</v>
      </c>
      <c r="G20" s="281">
        <v>1</v>
      </c>
      <c r="H20" s="256">
        <f>F20</f>
        <v>0</v>
      </c>
      <c r="I20" s="235"/>
      <c r="J20" s="235">
        <f>IF(Rechentabelle!A14,F20*Übersicht!$C$4,0)</f>
        <v>0</v>
      </c>
      <c r="K20" s="5"/>
      <c r="L20" s="256">
        <f t="shared" ref="L20:L31" si="2">J20*50</f>
        <v>0</v>
      </c>
      <c r="M20" s="278"/>
      <c r="N20" s="259">
        <f>J20</f>
        <v>0</v>
      </c>
    </row>
    <row r="21" spans="2:17" s="18" customFormat="1" x14ac:dyDescent="0.3">
      <c r="B21" s="128" t="s">
        <v>116</v>
      </c>
      <c r="C21" s="134"/>
      <c r="D21" s="131" t="s">
        <v>4</v>
      </c>
      <c r="E21" s="296"/>
      <c r="F21" s="291"/>
      <c r="G21" s="292"/>
      <c r="H21" s="293"/>
      <c r="I21" s="240"/>
      <c r="J21" s="240"/>
      <c r="K21" s="297"/>
      <c r="L21" s="293"/>
      <c r="M21" s="298"/>
      <c r="N21" s="260"/>
    </row>
    <row r="22" spans="2:17" x14ac:dyDescent="0.3">
      <c r="B22" s="113"/>
      <c r="C22" s="3" t="s">
        <v>82</v>
      </c>
      <c r="D22" s="142">
        <v>0</v>
      </c>
      <c r="E22" s="271"/>
      <c r="F22" s="299">
        <v>5271</v>
      </c>
      <c r="G22" s="300">
        <v>5</v>
      </c>
      <c r="H22" s="276">
        <f>F22/G22</f>
        <v>1054.2</v>
      </c>
      <c r="I22" s="234">
        <f>IF(Rechentabelle!A15,F22*D22,0)</f>
        <v>0</v>
      </c>
      <c r="J22" s="234"/>
      <c r="K22" s="5"/>
      <c r="L22" s="301"/>
      <c r="M22" s="278"/>
      <c r="N22" s="258">
        <f>I22</f>
        <v>0</v>
      </c>
    </row>
    <row r="23" spans="2:17" x14ac:dyDescent="0.3">
      <c r="B23" s="113"/>
      <c r="C23" s="3" t="s">
        <v>76</v>
      </c>
      <c r="D23" s="34"/>
      <c r="E23" s="271">
        <v>25</v>
      </c>
      <c r="F23" s="270"/>
      <c r="G23" s="300">
        <v>5</v>
      </c>
      <c r="H23" s="276">
        <f>E23/G23</f>
        <v>5</v>
      </c>
      <c r="I23" s="233"/>
      <c r="J23" s="233">
        <f>IF(Rechentabelle!A16,E23/G23*15*Übersicht!C5/50,0)</f>
        <v>0</v>
      </c>
      <c r="K23" s="5"/>
      <c r="L23" s="288">
        <f t="shared" ref="L23:L25" si="3">J23*50</f>
        <v>0</v>
      </c>
      <c r="M23" s="278"/>
      <c r="N23" s="258">
        <f>IF(Rechentabelle!A16,E23/G23*(Übersicht!H5+Übersicht!H4+Übersicht!H6),0)</f>
        <v>0</v>
      </c>
      <c r="O23" s="3"/>
    </row>
    <row r="24" spans="2:17" x14ac:dyDescent="0.3">
      <c r="B24" s="113"/>
      <c r="C24" s="3" t="s">
        <v>77</v>
      </c>
      <c r="D24" s="34"/>
      <c r="E24" s="271">
        <v>50</v>
      </c>
      <c r="F24" s="270"/>
      <c r="G24" s="300">
        <v>5</v>
      </c>
      <c r="H24" s="276">
        <f t="shared" ref="H24:H25" si="4">E24/G24</f>
        <v>10</v>
      </c>
      <c r="I24" s="234"/>
      <c r="J24" s="234">
        <f>IF(Rechentabelle!A17,E24/G24*10*Übersicht!C5/50,0)</f>
        <v>0</v>
      </c>
      <c r="K24" s="5"/>
      <c r="L24" s="277">
        <f t="shared" si="3"/>
        <v>0</v>
      </c>
      <c r="M24" s="278"/>
      <c r="N24" s="258">
        <f>IF(Rechentabelle!A17,E24/G24*Übersicht!H7,0)</f>
        <v>0</v>
      </c>
      <c r="O24" s="3"/>
      <c r="Q24" s="5"/>
    </row>
    <row r="25" spans="2:17" x14ac:dyDescent="0.3">
      <c r="B25" s="113"/>
      <c r="C25" s="3" t="s">
        <v>78</v>
      </c>
      <c r="D25" s="34"/>
      <c r="E25" s="271">
        <v>120</v>
      </c>
      <c r="F25" s="270"/>
      <c r="G25" s="300">
        <v>5</v>
      </c>
      <c r="H25" s="276">
        <f t="shared" si="4"/>
        <v>24</v>
      </c>
      <c r="I25" s="234"/>
      <c r="J25" s="234">
        <f>IF(Rechentabelle!A18,E25/G25*25*Übersicht!C5/50,0)</f>
        <v>0</v>
      </c>
      <c r="K25" s="5"/>
      <c r="L25" s="277">
        <f t="shared" si="3"/>
        <v>0</v>
      </c>
      <c r="M25" s="278"/>
      <c r="N25" s="258">
        <f>IF(Rechentabelle!A18,E25/G25*Übersicht!H8,0)</f>
        <v>0</v>
      </c>
      <c r="O25" s="136"/>
    </row>
    <row r="26" spans="2:17" x14ac:dyDescent="0.3">
      <c r="B26" s="113"/>
      <c r="C26" s="3" t="s">
        <v>64</v>
      </c>
      <c r="D26" s="34"/>
      <c r="E26" s="271">
        <v>12</v>
      </c>
      <c r="F26" s="272"/>
      <c r="G26" s="275">
        <v>1</v>
      </c>
      <c r="H26" s="276">
        <v>12</v>
      </c>
      <c r="I26" s="234"/>
      <c r="J26" s="234">
        <f>IF(Rechentabelle!A19,E26*Übersicht!C5,0)</f>
        <v>0</v>
      </c>
      <c r="K26" s="5"/>
      <c r="L26" s="277">
        <f t="shared" ref="L26" si="5">J26*50</f>
        <v>0</v>
      </c>
      <c r="M26" s="278"/>
      <c r="N26" s="258">
        <f>IF(Rechentabelle!A19,E26*Übersicht!C5,0)</f>
        <v>0</v>
      </c>
    </row>
    <row r="27" spans="2:17" x14ac:dyDescent="0.3">
      <c r="B27" s="113"/>
      <c r="C27" s="124" t="s">
        <v>75</v>
      </c>
      <c r="D27" s="109"/>
      <c r="E27" s="302"/>
      <c r="F27" s="150">
        <v>320</v>
      </c>
      <c r="G27" s="303">
        <v>1</v>
      </c>
      <c r="H27" s="304">
        <f>F27</f>
        <v>320</v>
      </c>
      <c r="I27" s="233"/>
      <c r="J27" s="233">
        <f>IF(Rechentabelle!A20,F27*Übersicht!$C$4,0)</f>
        <v>0</v>
      </c>
      <c r="K27" s="5"/>
      <c r="L27" s="288">
        <f t="shared" si="2"/>
        <v>0</v>
      </c>
      <c r="M27" s="278"/>
      <c r="N27" s="261">
        <f>J27</f>
        <v>0</v>
      </c>
    </row>
    <row r="28" spans="2:17" s="26" customFormat="1" x14ac:dyDescent="0.3">
      <c r="B28" s="127"/>
      <c r="C28" s="108" t="s">
        <v>136</v>
      </c>
      <c r="D28" s="35"/>
      <c r="E28" s="294"/>
      <c r="F28" s="305">
        <v>284</v>
      </c>
      <c r="G28" s="281">
        <v>1</v>
      </c>
      <c r="H28" s="264">
        <v>284</v>
      </c>
      <c r="I28" s="235"/>
      <c r="J28" s="235">
        <f>IF(Rechentabelle!A23,F28*Übersicht!$C$4,0)</f>
        <v>0</v>
      </c>
      <c r="K28" s="5"/>
      <c r="L28" s="256">
        <f t="shared" si="2"/>
        <v>0</v>
      </c>
      <c r="M28" s="278"/>
      <c r="N28" s="259">
        <f>IF(Rechentabelle!A23,F28*Übersicht!C4,0)</f>
        <v>0</v>
      </c>
    </row>
    <row r="29" spans="2:17" x14ac:dyDescent="0.3">
      <c r="B29" s="128" t="s">
        <v>117</v>
      </c>
      <c r="C29" s="129"/>
      <c r="D29" s="130"/>
      <c r="E29" s="306"/>
      <c r="F29" s="283"/>
      <c r="G29" s="284"/>
      <c r="H29" s="257"/>
      <c r="I29" s="241"/>
      <c r="J29" s="241"/>
      <c r="K29" s="5"/>
      <c r="L29" s="257"/>
      <c r="M29" s="278"/>
      <c r="N29" s="262"/>
    </row>
    <row r="30" spans="2:17" x14ac:dyDescent="0.3">
      <c r="B30" s="113"/>
      <c r="C30" s="3" t="s">
        <v>35</v>
      </c>
      <c r="D30" s="34"/>
      <c r="E30" s="271">
        <v>45</v>
      </c>
      <c r="F30" s="307"/>
      <c r="G30" s="300">
        <v>1</v>
      </c>
      <c r="H30" s="276"/>
      <c r="I30" s="234">
        <f>IF(Rechentabelle!A21,E30*Übersicht!C5,0)</f>
        <v>0</v>
      </c>
      <c r="J30" s="234"/>
      <c r="K30" s="5"/>
      <c r="L30" s="301"/>
      <c r="M30" s="278"/>
      <c r="N30" s="258">
        <f>IF(Rechentabelle!A21,E30*Übersicht!H4,0)</f>
        <v>0</v>
      </c>
    </row>
    <row r="31" spans="2:17" x14ac:dyDescent="0.3">
      <c r="B31" s="127"/>
      <c r="C31" s="108" t="s">
        <v>135</v>
      </c>
      <c r="D31" s="35"/>
      <c r="E31" s="294"/>
      <c r="F31" s="308">
        <v>0</v>
      </c>
      <c r="G31" s="309"/>
      <c r="H31" s="264"/>
      <c r="I31" s="236"/>
      <c r="J31" s="236">
        <f>IF(Rechentabelle!A22,F31*Übersicht!$C$4,0)</f>
        <v>0</v>
      </c>
      <c r="K31" s="5"/>
      <c r="L31" s="310">
        <f t="shared" si="2"/>
        <v>0</v>
      </c>
      <c r="M31" s="278"/>
      <c r="N31" s="259">
        <f>J31</f>
        <v>0</v>
      </c>
    </row>
    <row r="32" spans="2:17" x14ac:dyDescent="0.3">
      <c r="B32" s="322" t="s">
        <v>134</v>
      </c>
      <c r="C32" s="242"/>
      <c r="D32" s="243"/>
      <c r="E32" s="242"/>
      <c r="F32" s="243"/>
      <c r="G32" s="250"/>
      <c r="H32" s="251"/>
      <c r="I32" s="237">
        <f>SUM(I7:I31)</f>
        <v>0</v>
      </c>
      <c r="J32" s="237">
        <f>SUM(J7:J31)</f>
        <v>0</v>
      </c>
      <c r="L32" s="252">
        <f>SUM(L7:L31)</f>
        <v>0</v>
      </c>
      <c r="M32" s="253"/>
      <c r="N32" s="263">
        <f>SUM(N7:N31)</f>
        <v>0</v>
      </c>
    </row>
    <row r="33" spans="2:14" x14ac:dyDescent="0.3">
      <c r="B33" s="111" t="s">
        <v>93</v>
      </c>
      <c r="C33" s="115"/>
      <c r="D33" s="35"/>
      <c r="E33" s="115"/>
      <c r="F33" s="35"/>
      <c r="G33" s="248"/>
      <c r="H33" s="249"/>
      <c r="I33" s="238"/>
      <c r="J33" s="238"/>
      <c r="L33" s="264">
        <f>(I32+L32)/50</f>
        <v>0</v>
      </c>
      <c r="M33" s="253"/>
      <c r="N33" s="249"/>
    </row>
    <row r="34" spans="2:14" x14ac:dyDescent="0.3">
      <c r="B34" s="231" t="s">
        <v>207</v>
      </c>
      <c r="C34" s="231"/>
    </row>
    <row r="36" spans="2:14" x14ac:dyDescent="0.3">
      <c r="B36" s="17" t="str">
        <f>Übersicht!$B$50</f>
        <v>Erstellt: Clarissa Schmelzle, LfL - Agrarökologie und Biologischer Landbau IAB 4a, Version 2, Stand: 18.12.2024</v>
      </c>
    </row>
  </sheetData>
  <sheetProtection algorithmName="SHA-512" hashValue="F4qSy6a9tHDxhM2gnTNCmRswmF6ESfuaxjUBxTrkmOAFkF+uS4U0YXrA76sxB3T9LU2dTuVX0lQSXLFRk+ldvg==" saltValue="xjtJAdOvl3i9IEpgUy3+tg==" spinCount="100000" sheet="1" objects="1" scenarios="1"/>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68580</xdr:colOff>
                    <xdr:row>6</xdr:row>
                    <xdr:rowOff>7620</xdr:rowOff>
                  </from>
                  <to>
                    <xdr:col>1</xdr:col>
                    <xdr:colOff>251460</xdr:colOff>
                    <xdr:row>6</xdr:row>
                    <xdr:rowOff>175260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68580</xdr:colOff>
                    <xdr:row>7</xdr:row>
                    <xdr:rowOff>7620</xdr:rowOff>
                  </from>
                  <to>
                    <xdr:col>1</xdr:col>
                    <xdr:colOff>251460</xdr:colOff>
                    <xdr:row>7</xdr:row>
                    <xdr:rowOff>175260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xdr:col>
                    <xdr:colOff>68580</xdr:colOff>
                    <xdr:row>10</xdr:row>
                    <xdr:rowOff>7620</xdr:rowOff>
                  </from>
                  <to>
                    <xdr:col>1</xdr:col>
                    <xdr:colOff>251460</xdr:colOff>
                    <xdr:row>10</xdr:row>
                    <xdr:rowOff>175260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1</xdr:col>
                    <xdr:colOff>68580</xdr:colOff>
                    <xdr:row>11</xdr:row>
                    <xdr:rowOff>7620</xdr:rowOff>
                  </from>
                  <to>
                    <xdr:col>1</xdr:col>
                    <xdr:colOff>251460</xdr:colOff>
                    <xdr:row>11</xdr:row>
                    <xdr:rowOff>175260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xdr:col>
                    <xdr:colOff>68580</xdr:colOff>
                    <xdr:row>12</xdr:row>
                    <xdr:rowOff>7620</xdr:rowOff>
                  </from>
                  <to>
                    <xdr:col>1</xdr:col>
                    <xdr:colOff>251460</xdr:colOff>
                    <xdr:row>12</xdr:row>
                    <xdr:rowOff>175260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68580</xdr:colOff>
                    <xdr:row>13</xdr:row>
                    <xdr:rowOff>7620</xdr:rowOff>
                  </from>
                  <to>
                    <xdr:col>1</xdr:col>
                    <xdr:colOff>251460</xdr:colOff>
                    <xdr:row>13</xdr:row>
                    <xdr:rowOff>175260</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1</xdr:col>
                    <xdr:colOff>68580</xdr:colOff>
                    <xdr:row>14</xdr:row>
                    <xdr:rowOff>7620</xdr:rowOff>
                  </from>
                  <to>
                    <xdr:col>1</xdr:col>
                    <xdr:colOff>251460</xdr:colOff>
                    <xdr:row>14</xdr:row>
                    <xdr:rowOff>175260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xdr:col>
                    <xdr:colOff>68580</xdr:colOff>
                    <xdr:row>15</xdr:row>
                    <xdr:rowOff>7620</xdr:rowOff>
                  </from>
                  <to>
                    <xdr:col>1</xdr:col>
                    <xdr:colOff>251460</xdr:colOff>
                    <xdr:row>15</xdr:row>
                    <xdr:rowOff>175260</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xdr:col>
                    <xdr:colOff>68580</xdr:colOff>
                    <xdr:row>16</xdr:row>
                    <xdr:rowOff>7620</xdr:rowOff>
                  </from>
                  <to>
                    <xdr:col>1</xdr:col>
                    <xdr:colOff>251460</xdr:colOff>
                    <xdr:row>16</xdr:row>
                    <xdr:rowOff>175260</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xdr:col>
                    <xdr:colOff>68580</xdr:colOff>
                    <xdr:row>18</xdr:row>
                    <xdr:rowOff>7620</xdr:rowOff>
                  </from>
                  <to>
                    <xdr:col>1</xdr:col>
                    <xdr:colOff>251460</xdr:colOff>
                    <xdr:row>18</xdr:row>
                    <xdr:rowOff>175260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xdr:col>
                    <xdr:colOff>68580</xdr:colOff>
                    <xdr:row>19</xdr:row>
                    <xdr:rowOff>0</xdr:rowOff>
                  </from>
                  <to>
                    <xdr:col>1</xdr:col>
                    <xdr:colOff>251460</xdr:colOff>
                    <xdr:row>19</xdr:row>
                    <xdr:rowOff>167640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1</xdr:col>
                    <xdr:colOff>68580</xdr:colOff>
                    <xdr:row>21</xdr:row>
                    <xdr:rowOff>7620</xdr:rowOff>
                  </from>
                  <to>
                    <xdr:col>1</xdr:col>
                    <xdr:colOff>251460</xdr:colOff>
                    <xdr:row>21</xdr:row>
                    <xdr:rowOff>175260</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1</xdr:col>
                    <xdr:colOff>68580</xdr:colOff>
                    <xdr:row>22</xdr:row>
                    <xdr:rowOff>7620</xdr:rowOff>
                  </from>
                  <to>
                    <xdr:col>1</xdr:col>
                    <xdr:colOff>251460</xdr:colOff>
                    <xdr:row>22</xdr:row>
                    <xdr:rowOff>175260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1</xdr:col>
                    <xdr:colOff>68580</xdr:colOff>
                    <xdr:row>23</xdr:row>
                    <xdr:rowOff>7620</xdr:rowOff>
                  </from>
                  <to>
                    <xdr:col>1</xdr:col>
                    <xdr:colOff>251460</xdr:colOff>
                    <xdr:row>23</xdr:row>
                    <xdr:rowOff>175260</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1</xdr:col>
                    <xdr:colOff>68580</xdr:colOff>
                    <xdr:row>24</xdr:row>
                    <xdr:rowOff>7620</xdr:rowOff>
                  </from>
                  <to>
                    <xdr:col>1</xdr:col>
                    <xdr:colOff>251460</xdr:colOff>
                    <xdr:row>24</xdr:row>
                    <xdr:rowOff>175260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1</xdr:col>
                    <xdr:colOff>68580</xdr:colOff>
                    <xdr:row>25</xdr:row>
                    <xdr:rowOff>7620</xdr:rowOff>
                  </from>
                  <to>
                    <xdr:col>1</xdr:col>
                    <xdr:colOff>251460</xdr:colOff>
                    <xdr:row>25</xdr:row>
                    <xdr:rowOff>175260</xdr:rowOff>
                  </to>
                </anchor>
              </controlPr>
            </control>
          </mc:Choice>
        </mc:AlternateContent>
        <mc:AlternateContent xmlns:mc="http://schemas.openxmlformats.org/markup-compatibility/2006">
          <mc:Choice Requires="x14">
            <control shapeId="2090" r:id="rId20" name="Check Box 42">
              <controlPr defaultSize="0" autoFill="0" autoLine="0" autoPict="0">
                <anchor moveWithCells="1">
                  <from>
                    <xdr:col>1</xdr:col>
                    <xdr:colOff>68580</xdr:colOff>
                    <xdr:row>26</xdr:row>
                    <xdr:rowOff>0</xdr:rowOff>
                  </from>
                  <to>
                    <xdr:col>1</xdr:col>
                    <xdr:colOff>251460</xdr:colOff>
                    <xdr:row>26</xdr:row>
                    <xdr:rowOff>167640</xdr:rowOff>
                  </to>
                </anchor>
              </controlPr>
            </control>
          </mc:Choice>
        </mc:AlternateContent>
        <mc:AlternateContent xmlns:mc="http://schemas.openxmlformats.org/markup-compatibility/2006">
          <mc:Choice Requires="x14">
            <control shapeId="2096" r:id="rId21" name="Check Box 48">
              <controlPr defaultSize="0" autoFill="0" autoLine="0" autoPict="0">
                <anchor moveWithCells="1">
                  <from>
                    <xdr:col>1</xdr:col>
                    <xdr:colOff>68580</xdr:colOff>
                    <xdr:row>29</xdr:row>
                    <xdr:rowOff>0</xdr:rowOff>
                  </from>
                  <to>
                    <xdr:col>1</xdr:col>
                    <xdr:colOff>251460</xdr:colOff>
                    <xdr:row>29</xdr:row>
                    <xdr:rowOff>167640</xdr:rowOff>
                  </to>
                </anchor>
              </controlPr>
            </control>
          </mc:Choice>
        </mc:AlternateContent>
        <mc:AlternateContent xmlns:mc="http://schemas.openxmlformats.org/markup-compatibility/2006">
          <mc:Choice Requires="x14">
            <control shapeId="2098" r:id="rId22" name="Check Box 50">
              <controlPr defaultSize="0" autoFill="0" autoLine="0" autoPict="0">
                <anchor moveWithCells="1">
                  <from>
                    <xdr:col>1</xdr:col>
                    <xdr:colOff>68580</xdr:colOff>
                    <xdr:row>7</xdr:row>
                    <xdr:rowOff>7620</xdr:rowOff>
                  </from>
                  <to>
                    <xdr:col>1</xdr:col>
                    <xdr:colOff>251460</xdr:colOff>
                    <xdr:row>7</xdr:row>
                    <xdr:rowOff>175260</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1</xdr:col>
                    <xdr:colOff>68580</xdr:colOff>
                    <xdr:row>7</xdr:row>
                    <xdr:rowOff>7620</xdr:rowOff>
                  </from>
                  <to>
                    <xdr:col>1</xdr:col>
                    <xdr:colOff>251460</xdr:colOff>
                    <xdr:row>7</xdr:row>
                    <xdr:rowOff>175260</xdr:rowOff>
                  </to>
                </anchor>
              </controlPr>
            </control>
          </mc:Choice>
        </mc:AlternateContent>
        <mc:AlternateContent xmlns:mc="http://schemas.openxmlformats.org/markup-compatibility/2006">
          <mc:Choice Requires="x14">
            <control shapeId="2103" r:id="rId24" name="Check Box 55">
              <controlPr defaultSize="0" autoFill="0" autoLine="0" autoPict="0">
                <anchor moveWithCells="1">
                  <from>
                    <xdr:col>1</xdr:col>
                    <xdr:colOff>68580</xdr:colOff>
                    <xdr:row>8</xdr:row>
                    <xdr:rowOff>22860</xdr:rowOff>
                  </from>
                  <to>
                    <xdr:col>1</xdr:col>
                    <xdr:colOff>251460</xdr:colOff>
                    <xdr:row>9</xdr:row>
                    <xdr:rowOff>0</xdr:rowOff>
                  </to>
                </anchor>
              </controlPr>
            </control>
          </mc:Choice>
        </mc:AlternateContent>
        <mc:AlternateContent xmlns:mc="http://schemas.openxmlformats.org/markup-compatibility/2006">
          <mc:Choice Requires="x14">
            <control shapeId="2105" r:id="rId25" name="Check Box 57">
              <controlPr defaultSize="0" autoFill="0" autoLine="0" autoPict="0">
                <anchor moveWithCells="1">
                  <from>
                    <xdr:col>1</xdr:col>
                    <xdr:colOff>68580</xdr:colOff>
                    <xdr:row>30</xdr:row>
                    <xdr:rowOff>7620</xdr:rowOff>
                  </from>
                  <to>
                    <xdr:col>1</xdr:col>
                    <xdr:colOff>251460</xdr:colOff>
                    <xdr:row>30</xdr:row>
                    <xdr:rowOff>175260</xdr:rowOff>
                  </to>
                </anchor>
              </controlPr>
            </control>
          </mc:Choice>
        </mc:AlternateContent>
        <mc:AlternateContent xmlns:mc="http://schemas.openxmlformats.org/markup-compatibility/2006">
          <mc:Choice Requires="x14">
            <control shapeId="2107" r:id="rId26" name="Check Box 59">
              <controlPr defaultSize="0" autoFill="0" autoLine="0" autoPict="0">
                <anchor moveWithCells="1">
                  <from>
                    <xdr:col>1</xdr:col>
                    <xdr:colOff>68580</xdr:colOff>
                    <xdr:row>27</xdr:row>
                    <xdr:rowOff>7620</xdr:rowOff>
                  </from>
                  <to>
                    <xdr:col>1</xdr:col>
                    <xdr:colOff>251460</xdr:colOff>
                    <xdr:row>27</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180BC2FE-A887-4B81-8132-7632F6DA444C}">
            <xm:f>Rechentabelle!$A$2</xm:f>
            <x14:dxf>
              <fill>
                <patternFill>
                  <fgColor rgb="FFE3FBD6"/>
                </patternFill>
              </fill>
            </x14:dxf>
          </x14:cfRule>
          <xm:sqref>F7</xm:sqref>
        </x14:conditionalFormatting>
        <x14:conditionalFormatting xmlns:xm="http://schemas.microsoft.com/office/excel/2006/main">
          <x14:cfRule type="expression" priority="2" id="{D217D11F-3047-4B0C-A22A-8FCDC48BDE4D}">
            <xm:f>AND(Rechentabelle!$A$7=TRUE,Rechentabelle!$A$8= TRUE)</xm:f>
            <x14:dxf>
              <font>
                <color rgb="FFFF0000"/>
              </font>
            </x14:dxf>
          </x14:cfRule>
          <x14:cfRule type="expression" priority="5" id="{1515D7FB-541A-43E2-91C3-177C3B89B700}">
            <xm:f>AND(Rechentabelle!$A$19=TRUE,Rechentabelle!$A$13= TRUE)</xm:f>
            <x14:dxf>
              <font>
                <color rgb="FFFF0000"/>
              </font>
            </x14:dxf>
          </x14:cfRule>
          <x14:cfRule type="expression" priority="7" id="{75DAB6F5-C4F8-40D3-B0D0-12E8136E2ED0}">
            <xm:f>AND(Rechentabelle!$A$21=TRUE,OR(Rechentabelle!$A$8=TRUE,Rechentabelle!$A$7= TRUE,Rechentabelle!$A$6= TRUE))</xm:f>
            <x14:dxf>
              <font>
                <color rgb="FFFF0000"/>
              </font>
            </x14:dxf>
          </x14:cfRule>
          <xm:sqref>B34:C34</xm:sqref>
        </x14:conditionalFormatting>
        <x14:conditionalFormatting xmlns:xm="http://schemas.microsoft.com/office/excel/2006/main">
          <x14:cfRule type="expression" priority="8" id="{A204E531-A7C4-48BD-8379-BCF6AA7DA0EC}">
            <xm:f>AND(Rechentabelle!$A$21=TRUE,OR(Rechentabelle!$A$8=TRUE,Rechentabelle!$A$7= TRUE,Rechentabelle!$A$6= TRUE))</xm:f>
            <x14:dxf>
              <font>
                <color rgb="FFFF0000"/>
              </font>
              <fill>
                <patternFill>
                  <bgColor rgb="FFFFCCCC"/>
                </patternFill>
              </fill>
            </x14:dxf>
          </x14:cfRule>
          <xm:sqref>C11:C13 C30</xm:sqref>
        </x14:conditionalFormatting>
        <x14:conditionalFormatting xmlns:xm="http://schemas.microsoft.com/office/excel/2006/main">
          <x14:cfRule type="expression" priority="6" id="{A8D40ED9-3FCE-41D1-8BDE-0FE223EDB940}">
            <xm:f>AND(Rechentabelle!$A$19=TRUE,Rechentabelle!$A$13= TRUE)</xm:f>
            <x14:dxf>
              <font>
                <color rgb="FFFF0000"/>
              </font>
              <fill>
                <patternFill>
                  <bgColor rgb="FFFFCCCC"/>
                </patternFill>
              </fill>
            </x14:dxf>
          </x14:cfRule>
          <xm:sqref>C26 C19</xm:sqref>
        </x14:conditionalFormatting>
        <x14:conditionalFormatting xmlns:xm="http://schemas.microsoft.com/office/excel/2006/main">
          <x14:cfRule type="expression" priority="3" id="{8166A146-34E2-4849-926D-FE7327C6D899}">
            <xm:f>AND(OR(Rechentabelle!$A$17=TRUE,Rechentabelle!$A$16= TRUE,Rechentabelle!$A$15= TRUE),OR(Rechentabelle!$A$10=TRUE,Rechentabelle!$A$11= TRUE,Rechentabelle!$A$12= TRUE))</xm:f>
            <x14:dxf>
              <font>
                <color rgb="FFFF0000"/>
              </font>
              <fill>
                <patternFill>
                  <bgColor rgb="FFFFCCCC"/>
                </patternFill>
              </fill>
            </x14:dxf>
          </x14:cfRule>
          <xm:sqref>C15:C17 C23:C25</xm:sqref>
        </x14:conditionalFormatting>
        <x14:conditionalFormatting xmlns:xm="http://schemas.microsoft.com/office/excel/2006/main">
          <x14:cfRule type="expression" priority="4" id="{1E5F21E9-F0A1-4FA5-A316-4F6D172D36EE}">
            <xm:f>AND(OR(Rechentabelle!$A$17=TRUE,Rechentabelle!$A$16= TRUE,Rechentabelle!$A$15= TRUE),OR(Rechentabelle!$A$10=TRUE,Rechentabelle!$A$11= TRUE,Rechentabelle!$A$12= TRUE))</xm:f>
            <x14:dxf>
              <font>
                <color rgb="FFFF0000"/>
              </font>
              <fill>
                <patternFill patternType="none">
                  <bgColor auto="1"/>
                </patternFill>
              </fill>
            </x14:dxf>
          </x14:cfRule>
          <xm:sqref>B34</xm:sqref>
        </x14:conditionalFormatting>
        <x14:conditionalFormatting xmlns:xm="http://schemas.microsoft.com/office/excel/2006/main">
          <x14:cfRule type="expression" priority="1" id="{624EFC91-208D-417C-B593-2992D1566EB4}">
            <xm:f>AND(Rechentabelle!$A$7=TRUE,Rechentabelle!$A$8= TRUE)</xm:f>
            <x14:dxf>
              <font>
                <color rgb="FFFF0000"/>
              </font>
              <fill>
                <patternFill>
                  <bgColor rgb="FFFFCCCC"/>
                </patternFill>
              </fill>
            </x14:dxf>
          </x14:cfRule>
          <xm:sqref>C12:C13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CB6D-115F-4FFF-8D70-2AC061B3879D}">
  <sheetPr codeName="Tabelle8"/>
  <dimension ref="A1:B16"/>
  <sheetViews>
    <sheetView showGridLines="0" workbookViewId="0">
      <selection activeCell="A2" sqref="A2"/>
    </sheetView>
  </sheetViews>
  <sheetFormatPr baseColWidth="10" defaultRowHeight="18.600000000000001" customHeight="1" x14ac:dyDescent="0.3"/>
  <cols>
    <col min="1" max="1" width="4.44140625" style="2" customWidth="1"/>
    <col min="2" max="16384" width="11.5546875" style="2"/>
  </cols>
  <sheetData>
    <row r="1" spans="1:2" ht="18.600000000000001" customHeight="1" x14ac:dyDescent="0.35">
      <c r="A1" s="1" t="s">
        <v>193</v>
      </c>
      <c r="B1" s="18"/>
    </row>
    <row r="2" spans="1:2" ht="18.600000000000001" customHeight="1" x14ac:dyDescent="0.3">
      <c r="B2" s="2" t="s">
        <v>203</v>
      </c>
    </row>
    <row r="3" spans="1:2" ht="18.600000000000001" customHeight="1" x14ac:dyDescent="0.3">
      <c r="B3" s="2" t="s">
        <v>198</v>
      </c>
    </row>
    <row r="4" spans="1:2" ht="18.600000000000001" customHeight="1" x14ac:dyDescent="0.3">
      <c r="B4" s="2" t="s">
        <v>204</v>
      </c>
    </row>
    <row r="5" spans="1:2" ht="18.600000000000001" customHeight="1" x14ac:dyDescent="0.3">
      <c r="B5" s="2" t="s">
        <v>194</v>
      </c>
    </row>
    <row r="6" spans="1:2" ht="18.600000000000001" customHeight="1" x14ac:dyDescent="0.3">
      <c r="B6" s="2" t="s">
        <v>188</v>
      </c>
    </row>
    <row r="7" spans="1:2" ht="18.600000000000001" customHeight="1" x14ac:dyDescent="0.3">
      <c r="B7" s="2" t="s">
        <v>196</v>
      </c>
    </row>
    <row r="8" spans="1:2" ht="18.600000000000001" customHeight="1" x14ac:dyDescent="0.3">
      <c r="B8" s="2" t="s">
        <v>191</v>
      </c>
    </row>
    <row r="9" spans="1:2" ht="18.600000000000001" customHeight="1" x14ac:dyDescent="0.3">
      <c r="B9" s="2" t="s">
        <v>205</v>
      </c>
    </row>
    <row r="10" spans="1:2" ht="18.600000000000001" customHeight="1" x14ac:dyDescent="0.3">
      <c r="B10" s="2" t="s">
        <v>197</v>
      </c>
    </row>
    <row r="11" spans="1:2" ht="18.600000000000001" customHeight="1" x14ac:dyDescent="0.3">
      <c r="B11" s="2" t="s">
        <v>195</v>
      </c>
    </row>
    <row r="12" spans="1:2" ht="18.600000000000001" customHeight="1" x14ac:dyDescent="0.3">
      <c r="B12" s="2" t="s">
        <v>192</v>
      </c>
    </row>
    <row r="13" spans="1:2" ht="18.600000000000001" customHeight="1" x14ac:dyDescent="0.3">
      <c r="B13" s="2" t="s">
        <v>190</v>
      </c>
    </row>
    <row r="14" spans="1:2" ht="18.600000000000001" customHeight="1" x14ac:dyDescent="0.3">
      <c r="B14" s="2" t="s">
        <v>186</v>
      </c>
    </row>
    <row r="15" spans="1:2" ht="18.600000000000001" customHeight="1" x14ac:dyDescent="0.3">
      <c r="B15" s="2" t="s">
        <v>187</v>
      </c>
    </row>
    <row r="16" spans="1:2" ht="18.600000000000001" customHeight="1" x14ac:dyDescent="0.3">
      <c r="B16" s="2" t="s">
        <v>189</v>
      </c>
    </row>
  </sheetData>
  <sheetProtection algorithmName="SHA-512" hashValue="Y1xtuQyPPu8Chu9v+ruzKGBhHvJ3WyJuULBUUeJqQPUeMhFoTL642hInoQzDw7O23Pdunnh2YBwHri5EsJNZTg==" saltValue="OSt3oXksQ+KeS1Mg8GHgnQ==" spinCount="100000" sheet="1" objects="1" scenarios="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0B727-AFAD-4848-95BF-4997A63C4E88}">
  <sheetPr codeName="Tabelle6"/>
  <dimension ref="A2:A26"/>
  <sheetViews>
    <sheetView workbookViewId="0">
      <selection activeCell="A19" sqref="A19"/>
    </sheetView>
  </sheetViews>
  <sheetFormatPr baseColWidth="10" defaultRowHeight="14.4" x14ac:dyDescent="0.3"/>
  <sheetData>
    <row r="2" spans="1:1" x14ac:dyDescent="0.3">
      <c r="A2" t="b">
        <v>1</v>
      </c>
    </row>
    <row r="3" spans="1:1" x14ac:dyDescent="0.3">
      <c r="A3" t="b">
        <v>0</v>
      </c>
    </row>
    <row r="4" spans="1:1" x14ac:dyDescent="0.3">
      <c r="A4" t="b">
        <v>0</v>
      </c>
    </row>
    <row r="5" spans="1:1" x14ac:dyDescent="0.3">
      <c r="A5" t="b">
        <v>0</v>
      </c>
    </row>
    <row r="6" spans="1:1" x14ac:dyDescent="0.3">
      <c r="A6" t="b">
        <v>0</v>
      </c>
    </row>
    <row r="7" spans="1:1" x14ac:dyDescent="0.3">
      <c r="A7" t="b">
        <v>0</v>
      </c>
    </row>
    <row r="8" spans="1:1" x14ac:dyDescent="0.3">
      <c r="A8" t="b">
        <v>0</v>
      </c>
    </row>
    <row r="9" spans="1:1" x14ac:dyDescent="0.3">
      <c r="A9" t="b">
        <v>0</v>
      </c>
    </row>
    <row r="10" spans="1:1" x14ac:dyDescent="0.3">
      <c r="A10" t="b">
        <v>0</v>
      </c>
    </row>
    <row r="11" spans="1:1" x14ac:dyDescent="0.3">
      <c r="A11" t="b">
        <v>0</v>
      </c>
    </row>
    <row r="12" spans="1:1" x14ac:dyDescent="0.3">
      <c r="A12" t="b">
        <v>0</v>
      </c>
    </row>
    <row r="13" spans="1:1" x14ac:dyDescent="0.3">
      <c r="A13" t="b">
        <v>0</v>
      </c>
    </row>
    <row r="14" spans="1:1" x14ac:dyDescent="0.3">
      <c r="A14" t="b">
        <v>0</v>
      </c>
    </row>
    <row r="15" spans="1:1" x14ac:dyDescent="0.3">
      <c r="A15" t="b">
        <v>0</v>
      </c>
    </row>
    <row r="16" spans="1:1" x14ac:dyDescent="0.3">
      <c r="A16" t="b">
        <v>0</v>
      </c>
    </row>
    <row r="17" spans="1:1" x14ac:dyDescent="0.3">
      <c r="A17" t="b">
        <v>0</v>
      </c>
    </row>
    <row r="18" spans="1:1" x14ac:dyDescent="0.3">
      <c r="A18" t="b">
        <v>0</v>
      </c>
    </row>
    <row r="19" spans="1:1" x14ac:dyDescent="0.3">
      <c r="A19" t="b">
        <v>0</v>
      </c>
    </row>
    <row r="20" spans="1:1" x14ac:dyDescent="0.3">
      <c r="A20" t="b">
        <v>0</v>
      </c>
    </row>
    <row r="21" spans="1:1" x14ac:dyDescent="0.3">
      <c r="A21" t="b">
        <v>0</v>
      </c>
    </row>
    <row r="22" spans="1:1" x14ac:dyDescent="0.3">
      <c r="A22" t="b">
        <v>0</v>
      </c>
    </row>
    <row r="23" spans="1:1" x14ac:dyDescent="0.3">
      <c r="A23" t="b">
        <v>0</v>
      </c>
    </row>
    <row r="26" spans="1:1" x14ac:dyDescent="0.3">
      <c r="A26" t="b">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Hinweise</vt:lpstr>
      <vt:lpstr>Übersicht</vt:lpstr>
      <vt:lpstr>Ertrag</vt:lpstr>
      <vt:lpstr>Arbeitszeit</vt:lpstr>
      <vt:lpstr>Kosten</vt:lpstr>
      <vt:lpstr>Förderung</vt:lpstr>
      <vt:lpstr>Quellen</vt:lpstr>
      <vt:lpstr>Rechentabelle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Kalkulationshilfe Streuobst</dc:title>
  <dc:creator>Schmelzle, Clarissa (LfL)</dc:creator>
  <cp:lastModifiedBy>Schmelzle, Clarissa (LfL)</cp:lastModifiedBy>
  <dcterms:created xsi:type="dcterms:W3CDTF">2023-10-30T08:57:50Z</dcterms:created>
  <dcterms:modified xsi:type="dcterms:W3CDTF">2024-12-18T10:01:59Z</dcterms:modified>
</cp:coreProperties>
</file>