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IAB\IAB2\a7311_EDV_Prog\04_Programmbausteine\03_NDungbedarf_mit_Gabenschüttler\2026\02_ProgPlan\"/>
    </mc:Choice>
  </mc:AlternateContent>
  <xr:revisionPtr revIDLastSave="0" documentId="13_ncr:1_{2B24CA15-7C5E-4377-8478-55A7045A0D03}" xr6:coauthVersionLast="47" xr6:coauthVersionMax="47" xr10:uidLastSave="{00000000-0000-0000-0000-000000000000}"/>
  <workbookProtection workbookAlgorithmName="SHA-512" workbookHashValue="TYcKhpJX6p39XDQCCcdyT/wuzDzexmJTtyr9Ym/42BOJjyJFuQVB8CYQ6cvZuGzuc2SsNDgwQDE2+PGWz3D83g==" workbookSaltValue="gwP5quZ9W3yQF92AUn1otg==" workbookSpinCount="100000" lockStructure="1"/>
  <bookViews>
    <workbookView xWindow="28680" yWindow="-120" windowWidth="29040" windowHeight="15840" tabRatio="599" xr2:uid="{3FBFB2AD-9574-4C5A-B6F3-88D996084267}"/>
  </bookViews>
  <sheets>
    <sheet name="Programm" sheetId="2" r:id="rId1"/>
    <sheet name="DSN 2020" sheetId="4" state="hidden" r:id="rId2"/>
    <sheet name="Hauptfrüchte" sheetId="5" state="hidden" r:id="rId3"/>
    <sheet name="Vorfrucht" sheetId="6" state="hidden" r:id="rId4"/>
    <sheet name="Zwischenfrucht" sheetId="7" state="hidden" r:id="rId5"/>
    <sheet name="Boden" sheetId="8" state="hidden" r:id="rId6"/>
    <sheet name="org Dung" sheetId="9" state="hidden" r:id="rId7"/>
    <sheet name="Jahr" sheetId="12" state="hidden" r:id="rId8"/>
    <sheet name="reduzierte Empfehlung" sheetId="10" state="hidden" r:id="rId9"/>
  </sheets>
  <definedNames>
    <definedName name="_xlnm.Print_Area" localSheetId="0">Programm!$A$1:$BE$35</definedName>
    <definedName name="MaxGabe2">Programm!$CK$32</definedName>
    <definedName name="MaxGabe3">Programm!$CO$32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9" i="2" l="1"/>
  <c r="CP10" i="2"/>
  <c r="CP11" i="2"/>
  <c r="CO11" i="2"/>
  <c r="CO10" i="2"/>
  <c r="CO14" i="2"/>
  <c r="DF49" i="2" l="1"/>
  <c r="DD49" i="2"/>
  <c r="DE49" i="2" s="1"/>
  <c r="CR40" i="2" a="1"/>
  <c r="CR40" i="2" s="1"/>
  <c r="CS40" i="2" a="1"/>
  <c r="CS40" i="2" s="1"/>
  <c r="CT40" i="2" a="1"/>
  <c r="CT40" i="2" s="1"/>
  <c r="CU40" i="2" a="1"/>
  <c r="CU40" i="2" s="1"/>
  <c r="AQ31" i="2" l="1"/>
  <c r="BT10" i="2" l="1" a="1"/>
  <c r="BT10" i="2" s="1"/>
  <c r="D1" i="2"/>
  <c r="BS15" i="2"/>
  <c r="X16" i="2" s="1"/>
  <c r="AX30" i="2" l="1"/>
  <c r="AU30" i="2" l="1" a="1"/>
  <c r="AU30" i="2" s="1"/>
  <c r="AU29" i="2" a="1"/>
  <c r="AU29" i="2" s="1"/>
  <c r="AU28" i="2" a="1"/>
  <c r="AU28" i="2" s="1"/>
  <c r="AI49" i="2"/>
  <c r="AI45" i="2"/>
  <c r="AN35" i="2"/>
  <c r="Y17" i="2"/>
  <c r="BP2" i="2" l="1"/>
  <c r="BO2" i="2"/>
  <c r="BN2" i="2"/>
  <c r="CJ10" i="2" l="1"/>
  <c r="CK10" i="2"/>
  <c r="DI32" i="2"/>
  <c r="EA3" i="2"/>
  <c r="CC12" i="2"/>
  <c r="CT25" i="2"/>
  <c r="EA4" i="2"/>
  <c r="CK14" i="2"/>
  <c r="CJ14" i="2"/>
  <c r="BM18" i="2" a="1"/>
  <c r="BM18" i="2" s="1"/>
  <c r="CG11" i="2" s="1"/>
  <c r="X17" i="2" s="1"/>
  <c r="CT32" i="2"/>
  <c r="CR11" i="2" l="1"/>
  <c r="DX9" i="2"/>
  <c r="DW2" i="2"/>
  <c r="DY32" i="2"/>
  <c r="DV30" i="2" s="1"/>
  <c r="DH49" i="2"/>
  <c r="DC9" i="2"/>
  <c r="DC32" i="2"/>
  <c r="DC49" i="2"/>
  <c r="DC2" i="2"/>
  <c r="K38" i="4"/>
  <c r="AN29" i="2"/>
  <c r="BK15" i="2"/>
  <c r="AD15" i="2" s="1"/>
  <c r="BK14" i="2"/>
  <c r="AD14" i="2" s="1"/>
  <c r="AL4" i="2"/>
  <c r="DL30" i="2" l="1" a="1"/>
  <c r="DL30" i="2" s="1"/>
  <c r="DF25" i="2"/>
  <c r="DF34" i="2"/>
  <c r="DE34" i="2" s="1"/>
  <c r="AQ32" i="2"/>
  <c r="AR31" i="2"/>
  <c r="BR13" i="2"/>
  <c r="BQ13" i="2"/>
  <c r="AF12" i="2" s="1"/>
  <c r="CJ11" i="2" l="1"/>
  <c r="S13" i="2"/>
  <c r="DZ5" i="2"/>
  <c r="CK11" i="2"/>
  <c r="DG34" i="2"/>
  <c r="J44" i="4"/>
  <c r="K44" i="4"/>
  <c r="L44" i="4"/>
  <c r="CU32" i="2" l="1"/>
  <c r="DU9" i="2"/>
  <c r="DP9" i="2"/>
  <c r="DF9" i="2"/>
  <c r="DE9" i="2" s="1"/>
  <c r="DD9" i="2" s="1"/>
  <c r="AF5" i="2" a="1"/>
  <c r="AF5" i="2" s="1"/>
  <c r="AI5" i="2" a="1"/>
  <c r="AI5" i="2" s="1"/>
  <c r="DK9" i="2"/>
  <c r="DF30" i="2"/>
  <c r="DD2" i="2"/>
  <c r="DD4" i="2" s="1"/>
  <c r="J1" i="2"/>
  <c r="DG9" i="2" l="1"/>
  <c r="DH9" i="2" s="1"/>
  <c r="DF10" i="2"/>
  <c r="DF16" i="2" s="1"/>
  <c r="DF32" i="2"/>
  <c r="DG32" i="2" a="1"/>
  <c r="DG32" i="2" s="1"/>
  <c r="DH32" i="2" s="1"/>
  <c r="O42" i="4"/>
  <c r="N42" i="4"/>
  <c r="M42" i="4"/>
  <c r="O20" i="4"/>
  <c r="P9" i="4"/>
  <c r="DU25" i="2"/>
  <c r="DP25" i="2"/>
  <c r="CS32" i="2"/>
  <c r="DG10" i="2" l="1"/>
  <c r="DE10" i="2"/>
  <c r="DE32" i="2" a="1"/>
  <c r="DE32" i="2" s="1"/>
  <c r="DD32" i="2" s="1"/>
  <c r="DF43" i="2"/>
  <c r="DD3" i="2" l="1"/>
  <c r="DE2" i="2"/>
  <c r="DD17" i="2" s="1"/>
  <c r="AS31" i="2"/>
  <c r="DC17" i="2" l="1"/>
  <c r="DE3" i="2"/>
  <c r="DF3" i="2" s="1"/>
  <c r="DG3" i="2" s="1"/>
  <c r="DH3" i="2" s="1"/>
  <c r="DI3" i="2" s="1"/>
  <c r="DJ3" i="2" s="1"/>
  <c r="DK3" i="2" s="1"/>
  <c r="DL3" i="2" s="1"/>
  <c r="DM3" i="2" s="1"/>
  <c r="DN3" i="2" s="1"/>
  <c r="DO3" i="2" s="1"/>
  <c r="DP3" i="2" s="1"/>
  <c r="DQ3" i="2" s="1"/>
  <c r="DR3" i="2" s="1"/>
  <c r="DS3" i="2" s="1"/>
  <c r="DT3" i="2" s="1"/>
  <c r="DU3" i="2" s="1"/>
  <c r="DQ17" i="2" l="1"/>
  <c r="DR17" i="2"/>
  <c r="DX17" i="2"/>
  <c r="DU17" i="2"/>
  <c r="DN17" i="2"/>
  <c r="DK17" i="2"/>
  <c r="DS17" i="2"/>
  <c r="DM17" i="2"/>
  <c r="DV17" i="2"/>
  <c r="DO17" i="2"/>
  <c r="DW17" i="2"/>
  <c r="DL17" i="2"/>
  <c r="DT17" i="2"/>
  <c r="DP17" i="2"/>
  <c r="Z16" i="2"/>
  <c r="AR5" i="2" l="1"/>
  <c r="AO5" i="2"/>
  <c r="AT31" i="2"/>
  <c r="DK25" i="2" l="1"/>
  <c r="DL34" i="2"/>
  <c r="DG49" i="2" l="1"/>
  <c r="Y16" i="2"/>
  <c r="DZ6" i="2"/>
  <c r="DU4" i="2" s="1"/>
  <c r="DV34" i="2"/>
  <c r="CN14" i="2"/>
  <c r="AJ24" i="2" s="1"/>
  <c r="DJ9" i="2" l="1"/>
  <c r="DL9" i="2"/>
  <c r="DV3" i="2"/>
  <c r="DW3" i="2" s="1"/>
  <c r="DU2" i="2"/>
  <c r="DW4" i="2" s="1"/>
  <c r="DV9" i="2"/>
  <c r="DT2" i="2" l="1"/>
  <c r="DS2" i="2" s="1"/>
  <c r="DR2" i="2" s="1"/>
  <c r="DQ2" i="2" s="1"/>
  <c r="DP2" i="2" s="1"/>
  <c r="DO2" i="2" s="1"/>
  <c r="DN2" i="2" s="1"/>
  <c r="DM2" i="2" s="1"/>
  <c r="DL2" i="2" s="1"/>
  <c r="DK2" i="2" s="1"/>
  <c r="DV2" i="2"/>
  <c r="DT9" i="2"/>
  <c r="DJ2" i="2" l="1"/>
  <c r="DJ17" i="2"/>
  <c r="DL32" i="2"/>
  <c r="DL43" i="2" s="1"/>
  <c r="DR46" i="2"/>
  <c r="DV32" i="2"/>
  <c r="DV43" i="2" l="1"/>
  <c r="DU32" i="2"/>
  <c r="DI2" i="2"/>
  <c r="DI17" i="2"/>
  <c r="DQ9" i="2"/>
  <c r="DO9" i="2"/>
  <c r="DU30" i="2"/>
  <c r="DQ30" i="2" s="1" a="1"/>
  <c r="DQ30" i="2" s="1"/>
  <c r="DM30" i="2"/>
  <c r="DW34" i="2"/>
  <c r="DU34" i="2"/>
  <c r="DK34" i="2"/>
  <c r="DM34" i="2"/>
  <c r="DQ34" i="2" l="1"/>
  <c r="DQ32" i="2"/>
  <c r="DH2" i="2"/>
  <c r="DH17" i="2"/>
  <c r="DQ43" i="2" l="1"/>
  <c r="DP30" i="2"/>
  <c r="DR30" i="2"/>
  <c r="DR32" i="2" s="1"/>
  <c r="DR34" i="2"/>
  <c r="DP34" i="2"/>
  <c r="DG2" i="2"/>
  <c r="DG17" i="2"/>
  <c r="AA17" i="2"/>
  <c r="Z17" i="2"/>
  <c r="AA16" i="2"/>
  <c r="CU16" i="2" s="1"/>
  <c r="DP32" i="2" l="1"/>
  <c r="DM32" i="2"/>
  <c r="DO45" i="2"/>
  <c r="DO46" i="2" s="1"/>
  <c r="DN45" i="2"/>
  <c r="DF2" i="2"/>
  <c r="DE17" i="2" s="1"/>
  <c r="DF17" i="2"/>
  <c r="BQ7" i="2"/>
  <c r="B19" i="2" s="1"/>
  <c r="CH32" i="2"/>
  <c r="CI32" i="2"/>
  <c r="CG32" i="2"/>
  <c r="CR34" i="2"/>
  <c r="CR33" i="2"/>
  <c r="AF1" i="2" l="1"/>
  <c r="DN46" i="2"/>
  <c r="X34" i="2"/>
  <c r="AR32" i="2"/>
  <c r="AR33" i="2"/>
  <c r="AS33" i="2"/>
  <c r="AJ53" i="2" s="1"/>
  <c r="AS32" i="2"/>
  <c r="AT32" i="2"/>
  <c r="AT33" i="2"/>
  <c r="AQ33" i="2"/>
  <c r="AF4" i="2"/>
  <c r="AQ34" i="2"/>
  <c r="AT34" i="2"/>
  <c r="AR34" i="2"/>
  <c r="AS34" i="2"/>
  <c r="DW32" i="2"/>
  <c r="DK32" i="2"/>
  <c r="AT15" i="2"/>
  <c r="AJ15" i="2"/>
  <c r="AF15" i="2"/>
  <c r="AF26" i="2"/>
  <c r="AF27" i="2"/>
  <c r="AI25" i="2"/>
  <c r="AI24" i="2"/>
  <c r="AF18" i="2"/>
  <c r="AM17" i="2"/>
  <c r="AM16" i="2"/>
  <c r="AJ16" i="2"/>
  <c r="AF3" i="2"/>
  <c r="AF10" i="2"/>
  <c r="AF6" i="2"/>
  <c r="CT14" i="2"/>
  <c r="AO32" i="2" l="1"/>
  <c r="AF28" i="2"/>
  <c r="CD12" i="2" l="1"/>
  <c r="Q9" i="4"/>
  <c r="AB7" i="2"/>
  <c r="AB6" i="2"/>
  <c r="Q17" i="2"/>
  <c r="AI46" i="2" s="1"/>
  <c r="DR9" i="2"/>
  <c r="DM9" i="2"/>
  <c r="D15" i="4"/>
  <c r="R9" i="4"/>
  <c r="O9" i="4"/>
  <c r="CM17" i="2"/>
  <c r="AB11" i="2" s="1"/>
  <c r="CM16" i="2"/>
  <c r="AB10" i="2" s="1"/>
  <c r="CT15" i="2"/>
  <c r="CP15" i="2"/>
  <c r="CO15" i="2"/>
  <c r="CN15" i="2"/>
  <c r="AJ25" i="2" s="1"/>
  <c r="CP14" i="2"/>
  <c r="BR15" i="2"/>
  <c r="BQ15" i="2"/>
  <c r="AF14" i="2" s="1"/>
  <c r="BR14" i="2"/>
  <c r="BQ14" i="2"/>
  <c r="S7" i="2" s="1"/>
  <c r="CO32" i="2"/>
  <c r="CK32" i="2"/>
  <c r="E8" i="4" s="1"/>
  <c r="CJ32" i="2"/>
  <c r="D8" i="4" s="1"/>
  <c r="CF32" i="2"/>
  <c r="CE32" i="2"/>
  <c r="CD32" i="2"/>
  <c r="CC32" i="2"/>
  <c r="CB32" i="2"/>
  <c r="CA32" i="2"/>
  <c r="BY32" i="2"/>
  <c r="BX32" i="2"/>
  <c r="BW32" i="2"/>
  <c r="BV32" i="2"/>
  <c r="BU32" i="2"/>
  <c r="BT32" i="2"/>
  <c r="BR32" i="2"/>
  <c r="BQ32" i="2"/>
  <c r="BP32" i="2"/>
  <c r="BO32" i="2"/>
  <c r="BN32" i="2"/>
  <c r="BM32" i="2"/>
  <c r="BZ7" i="2"/>
  <c r="BY7" i="2"/>
  <c r="BX7" i="2"/>
  <c r="BW7" i="2"/>
  <c r="BV7" i="2"/>
  <c r="BN7" i="2" s="1"/>
  <c r="E4" i="4" s="1"/>
  <c r="BU7" i="2"/>
  <c r="BM7" i="2" s="1"/>
  <c r="BT7" i="2"/>
  <c r="BS7" i="2"/>
  <c r="BR7" i="2"/>
  <c r="Q12" i="2"/>
  <c r="DW9" i="2"/>
  <c r="BK11" i="2" l="1"/>
  <c r="AD11" i="2" s="1"/>
  <c r="BK10" i="2"/>
  <c r="AD10" i="2" s="1"/>
  <c r="CA7" i="2"/>
  <c r="CD6" i="2" s="1"/>
  <c r="CE6" i="2" s="1"/>
  <c r="AF13" i="2"/>
  <c r="CT16" i="2"/>
  <c r="CS16" i="2" s="1"/>
  <c r="AO17" i="2"/>
  <c r="AO11" i="2"/>
  <c r="BM17" i="2"/>
  <c r="BO7" i="2"/>
  <c r="F4" i="4" s="1"/>
  <c r="AF23" i="2"/>
  <c r="CT17" i="2"/>
  <c r="AO16" i="2"/>
  <c r="AR6" i="2"/>
  <c r="D4" i="4"/>
  <c r="AS6" i="2"/>
  <c r="Q14" i="2"/>
  <c r="BZ11" i="2"/>
  <c r="Q11" i="2" s="1"/>
  <c r="CS33" i="2"/>
  <c r="BM33" i="2"/>
  <c r="N9" i="4"/>
  <c r="AO15" i="2"/>
  <c r="DO32" i="2"/>
  <c r="DN32" i="2"/>
  <c r="CU14" i="2"/>
  <c r="CS14" i="2" s="1"/>
  <c r="AB14" i="2" s="1"/>
  <c r="CU15" i="2"/>
  <c r="CS15" i="2" s="1"/>
  <c r="AB15" i="2" s="1"/>
  <c r="CU17" i="2"/>
  <c r="AB8" i="2"/>
  <c r="Q7" i="2"/>
  <c r="Q13" i="2"/>
  <c r="BV34" i="2"/>
  <c r="DX32" i="2"/>
  <c r="DS32" i="2"/>
  <c r="DI9" i="2"/>
  <c r="DJ32" i="2"/>
  <c r="DN9" i="2"/>
  <c r="DS9" i="2"/>
  <c r="BU33" i="2"/>
  <c r="CO16" i="2"/>
  <c r="BM35" i="2" s="1"/>
  <c r="CP16" i="2"/>
  <c r="CS34" i="2"/>
  <c r="CT34" i="2" s="1"/>
  <c r="CU34" i="2" s="1"/>
  <c r="CN16" i="2"/>
  <c r="AF19" i="2" s="1"/>
  <c r="CR36" i="2"/>
  <c r="CS36" i="2" s="1"/>
  <c r="CT36" i="2" s="1"/>
  <c r="CU36" i="2" s="1"/>
  <c r="CP17" i="2"/>
  <c r="Q15" i="2"/>
  <c r="CN17" i="2"/>
  <c r="AF20" i="2" s="1"/>
  <c r="CO17" i="2"/>
  <c r="BV36" i="2" s="1"/>
  <c r="CA34" i="2"/>
  <c r="BT33" i="2"/>
  <c r="BV33" i="2"/>
  <c r="F8" i="4"/>
  <c r="BU34" i="2"/>
  <c r="CA33" i="2"/>
  <c r="CB33" i="2"/>
  <c r="BM34" i="2"/>
  <c r="CC34" i="2"/>
  <c r="CR35" i="2"/>
  <c r="CB34" i="2"/>
  <c r="CC33" i="2"/>
  <c r="BN34" i="2"/>
  <c r="BN33" i="2"/>
  <c r="BO34" i="2"/>
  <c r="BO33" i="2"/>
  <c r="BT34" i="2"/>
  <c r="AB12" i="2" l="1"/>
  <c r="AO21" i="2"/>
  <c r="DF51" i="2"/>
  <c r="DF50" i="2" s="1"/>
  <c r="AI50" i="2"/>
  <c r="DG51" i="2"/>
  <c r="DG50" i="2" s="1"/>
  <c r="BM15" i="2"/>
  <c r="CC7" i="2"/>
  <c r="AR17" i="2" s="1"/>
  <c r="BM14" i="2"/>
  <c r="BM12" i="2"/>
  <c r="BN12" i="2" s="1"/>
  <c r="BM13" i="2"/>
  <c r="AR12" i="2" s="1"/>
  <c r="CD7" i="2"/>
  <c r="CE7" i="2" s="1"/>
  <c r="AT17" i="2" s="1"/>
  <c r="CC10" i="2"/>
  <c r="AR19" i="2" s="1"/>
  <c r="CC8" i="2"/>
  <c r="AR18" i="2" s="1"/>
  <c r="CC6" i="2"/>
  <c r="AR16" i="2" s="1"/>
  <c r="AB16" i="2"/>
  <c r="DD51" i="2" s="1"/>
  <c r="DD50" i="2" s="1"/>
  <c r="BN15" i="2"/>
  <c r="BO15" i="2" s="1"/>
  <c r="AT14" i="2" s="1"/>
  <c r="BN13" i="2"/>
  <c r="BO13" i="2" s="1"/>
  <c r="CD10" i="2"/>
  <c r="CE10" i="2" s="1"/>
  <c r="AT19" i="2" s="1"/>
  <c r="AO19" i="2"/>
  <c r="BN17" i="2"/>
  <c r="AS15" i="2" s="1"/>
  <c r="AR15" i="2"/>
  <c r="AO18" i="2"/>
  <c r="CD8" i="2"/>
  <c r="CE8" i="2" s="1"/>
  <c r="AT18" i="2" s="1"/>
  <c r="AO13" i="2"/>
  <c r="BN14" i="2"/>
  <c r="BO14" i="2" s="1"/>
  <c r="AT13" i="2" s="1"/>
  <c r="AT6" i="2"/>
  <c r="CS35" i="2"/>
  <c r="CT35" i="2" s="1"/>
  <c r="CD15" i="2"/>
  <c r="AS25" i="2" s="1"/>
  <c r="CS17" i="2"/>
  <c r="AB17" i="2" s="1"/>
  <c r="Y34" i="2"/>
  <c r="DN47" i="2"/>
  <c r="AO6" i="2"/>
  <c r="DT32" i="2"/>
  <c r="AO14" i="2"/>
  <c r="AO12" i="2"/>
  <c r="AT16" i="2"/>
  <c r="AS16" i="2"/>
  <c r="BN35" i="2"/>
  <c r="CC35" i="2"/>
  <c r="CB35" i="2"/>
  <c r="BU35" i="2"/>
  <c r="BO35" i="2"/>
  <c r="BT35" i="2"/>
  <c r="CC36" i="2"/>
  <c r="BN36" i="2"/>
  <c r="CA35" i="2"/>
  <c r="BM36" i="2"/>
  <c r="CA36" i="2"/>
  <c r="BV35" i="2"/>
  <c r="BU36" i="2"/>
  <c r="CB36" i="2"/>
  <c r="BT36" i="2"/>
  <c r="BO36" i="2"/>
  <c r="CT33" i="2"/>
  <c r="G4" i="4"/>
  <c r="D5" i="4" l="1"/>
  <c r="AR11" i="2"/>
  <c r="AR14" i="2"/>
  <c r="AR13" i="2"/>
  <c r="AS17" i="2"/>
  <c r="DE51" i="2"/>
  <c r="AS12" i="2"/>
  <c r="DF36" i="2"/>
  <c r="DG36" i="2"/>
  <c r="AS19" i="2"/>
  <c r="AS11" i="2"/>
  <c r="BO12" i="2"/>
  <c r="CE11" i="2"/>
  <c r="AT20" i="2" s="1"/>
  <c r="CU35" i="2"/>
  <c r="CC16" i="2" s="1"/>
  <c r="AR26" i="2" s="1"/>
  <c r="AO25" i="2"/>
  <c r="CC15" i="2"/>
  <c r="AR25" i="2" s="1"/>
  <c r="CE15" i="2"/>
  <c r="AT25" i="2" s="1"/>
  <c r="AO24" i="2"/>
  <c r="AO20" i="2"/>
  <c r="CD11" i="2"/>
  <c r="AS20" i="2" s="1"/>
  <c r="CC11" i="2"/>
  <c r="AR20" i="2" s="1"/>
  <c r="AS13" i="2"/>
  <c r="BO11" i="2"/>
  <c r="AO10" i="2"/>
  <c r="BN11" i="2"/>
  <c r="AS10" i="2" s="1"/>
  <c r="BM11" i="2"/>
  <c r="AO26" i="2"/>
  <c r="E5" i="4"/>
  <c r="AS14" i="2"/>
  <c r="AS18" i="2"/>
  <c r="AT12" i="2"/>
  <c r="CU33" i="2"/>
  <c r="CC14" i="2" s="1"/>
  <c r="DE50" i="2" l="1"/>
  <c r="AI51" i="2"/>
  <c r="CG5" i="2"/>
  <c r="CD17" i="2"/>
  <c r="AS27" i="2" s="1"/>
  <c r="CC17" i="2"/>
  <c r="AR27" i="2" s="1"/>
  <c r="AO27" i="2"/>
  <c r="CE17" i="2"/>
  <c r="AT27" i="2" s="1"/>
  <c r="F5" i="4"/>
  <c r="AT11" i="2"/>
  <c r="D6" i="4"/>
  <c r="I9" i="4" s="1"/>
  <c r="CD14" i="2"/>
  <c r="AS24" i="2" s="1"/>
  <c r="CE16" i="2"/>
  <c r="AT26" i="2" s="1"/>
  <c r="CD16" i="2"/>
  <c r="AS26" i="2" s="1"/>
  <c r="AR24" i="2"/>
  <c r="E6" i="4"/>
  <c r="J9" i="4" s="1"/>
  <c r="AT10" i="2"/>
  <c r="AR10" i="2"/>
  <c r="F6" i="4"/>
  <c r="CE14" i="2"/>
  <c r="AT24" i="2" s="1"/>
  <c r="K9" i="4" l="1"/>
  <c r="L9" i="4" s="1"/>
  <c r="S9" i="4" s="1"/>
  <c r="E7" i="4"/>
  <c r="K43" i="4" s="1"/>
  <c r="K42" i="4" s="1"/>
  <c r="F7" i="4"/>
  <c r="L43" i="4" s="1"/>
  <c r="L42" i="4" s="1"/>
  <c r="D7" i="4"/>
  <c r="J43" i="4" s="1"/>
  <c r="J42" i="4" s="1"/>
  <c r="D13" i="4" l="1"/>
  <c r="E13" i="4"/>
  <c r="T10" i="4"/>
  <c r="D14" i="2"/>
  <c r="F9" i="4"/>
  <c r="E9" i="4"/>
  <c r="D9" i="4"/>
  <c r="F13" i="4"/>
  <c r="AC18" i="2" l="1"/>
  <c r="AN23" i="2" s="1"/>
  <c r="AB13" i="2"/>
  <c r="AO23" i="2"/>
  <c r="AO22" i="2"/>
  <c r="V10" i="4"/>
  <c r="V8" i="4" s="1"/>
  <c r="U10" i="4"/>
  <c r="U8" i="4" s="1"/>
  <c r="AS22" i="2" s="1"/>
  <c r="T8" i="4"/>
  <c r="AR22" i="2" s="1"/>
  <c r="G13" i="4"/>
  <c r="E14" i="4" l="1"/>
  <c r="AT22" i="2"/>
  <c r="F14" i="4"/>
  <c r="D14" i="4"/>
  <c r="G14" i="4" l="1"/>
  <c r="M21" i="4" s="1"/>
  <c r="L32" i="4" l="1"/>
  <c r="J32" i="4"/>
  <c r="J34" i="4"/>
  <c r="J38" i="4" s="1"/>
  <c r="AW30" i="2" s="1"/>
  <c r="D16" i="4"/>
  <c r="AR29" i="2" s="1"/>
  <c r="F16" i="4"/>
  <c r="AT29" i="2" s="1"/>
  <c r="E16" i="4"/>
  <c r="AS29" i="2" s="1"/>
  <c r="L34" i="4" l="1"/>
  <c r="L38" i="4" s="1"/>
  <c r="AY30" i="2" s="1"/>
  <c r="D17" i="4"/>
  <c r="D18" i="4"/>
  <c r="E17" i="4"/>
  <c r="F18" i="4"/>
  <c r="G16" i="4"/>
  <c r="E18" i="4"/>
  <c r="F17" i="4"/>
  <c r="K32" i="4" l="1"/>
  <c r="M32" i="4" s="1"/>
  <c r="G18" i="4"/>
  <c r="G17" i="4"/>
  <c r="E19" i="4" l="1"/>
  <c r="F19" i="4"/>
  <c r="D19" i="4"/>
  <c r="D20" i="4" s="1"/>
  <c r="E20" i="4" l="1"/>
  <c r="E21" i="4" s="1"/>
  <c r="G19" i="4"/>
  <c r="D21" i="4"/>
  <c r="D22" i="4" s="1"/>
  <c r="F20" i="4" l="1"/>
  <c r="G20" i="4" s="1"/>
  <c r="F21" i="4" l="1"/>
  <c r="F22" i="4" s="1"/>
  <c r="F23" i="4" l="1"/>
  <c r="G21" i="4"/>
  <c r="E22" i="4"/>
  <c r="E23" i="4" s="1"/>
  <c r="G22" i="4" l="1"/>
  <c r="D23" i="4"/>
  <c r="G23" i="4" l="1"/>
  <c r="E24" i="4" l="1"/>
  <c r="E42" i="4" s="1"/>
  <c r="F24" i="4"/>
  <c r="F25" i="4" s="1"/>
  <c r="L36" i="4"/>
  <c r="L37" i="4" s="1"/>
  <c r="K36" i="4"/>
  <c r="D24" i="4"/>
  <c r="D25" i="4" s="1"/>
  <c r="E25" i="4" l="1"/>
  <c r="G25" i="4" s="1"/>
  <c r="F42" i="4"/>
  <c r="E43" i="4" s="1"/>
  <c r="G24" i="4"/>
  <c r="J36" i="4"/>
  <c r="K37" i="4" l="1"/>
  <c r="E26" i="4"/>
  <c r="E27" i="4" s="1"/>
  <c r="F43" i="4"/>
  <c r="F44" i="4" s="1"/>
  <c r="F45" i="4" s="1"/>
  <c r="F26" i="4"/>
  <c r="F27" i="4" s="1"/>
  <c r="D26" i="4"/>
  <c r="D27" i="4" s="1"/>
  <c r="F28" i="4" l="1"/>
  <c r="F29" i="4" s="1"/>
  <c r="E28" i="4"/>
  <c r="E29" i="4" s="1"/>
  <c r="G26" i="4"/>
  <c r="D42" i="4"/>
  <c r="G27" i="4" l="1"/>
  <c r="D28" i="4"/>
  <c r="G28" i="4" s="1"/>
  <c r="D43" i="4"/>
  <c r="G42" i="4"/>
  <c r="D29" i="4" l="1"/>
  <c r="D30" i="4" s="1"/>
  <c r="G43" i="4"/>
  <c r="D44" i="4"/>
  <c r="E30" i="4" l="1"/>
  <c r="F30" i="4"/>
  <c r="G29" i="4"/>
  <c r="E44" i="4"/>
  <c r="D45" i="4"/>
  <c r="E31" i="4" l="1"/>
  <c r="D31" i="4"/>
  <c r="D32" i="4" s="1"/>
  <c r="F31" i="4"/>
  <c r="F32" i="4" s="1"/>
  <c r="G30" i="4"/>
  <c r="D46" i="4"/>
  <c r="E45" i="4"/>
  <c r="G44" i="4"/>
  <c r="E32" i="4" l="1"/>
  <c r="E33" i="4" s="1"/>
  <c r="D33" i="4"/>
  <c r="D34" i="4"/>
  <c r="F34" i="4"/>
  <c r="F33" i="4"/>
  <c r="G31" i="4"/>
  <c r="G45" i="4"/>
  <c r="F46" i="4" s="1"/>
  <c r="G32" i="4" l="1"/>
  <c r="E34" i="4"/>
  <c r="G34" i="4" s="1"/>
  <c r="G33" i="4"/>
  <c r="F47" i="4"/>
  <c r="F48" i="4"/>
  <c r="F49" i="4" s="1"/>
  <c r="F50" i="4" s="1"/>
  <c r="F51" i="4" s="1"/>
  <c r="E46" i="4"/>
  <c r="D35" i="4" l="1"/>
  <c r="D36" i="4" s="1"/>
  <c r="F35" i="4"/>
  <c r="F36" i="4" s="1"/>
  <c r="E35" i="4"/>
  <c r="E36" i="4" s="1"/>
  <c r="D47" i="4"/>
  <c r="E47" i="4"/>
  <c r="G46" i="4"/>
  <c r="E37" i="4" l="1"/>
  <c r="D37" i="4"/>
  <c r="F37" i="4"/>
  <c r="G36" i="4"/>
  <c r="G47" i="4"/>
  <c r="D48" i="4"/>
  <c r="G37" i="4" l="1"/>
  <c r="D38" i="4" s="1"/>
  <c r="E48" i="4"/>
  <c r="E49" i="4" s="1"/>
  <c r="D49" i="4" s="1"/>
  <c r="F38" i="4" l="1"/>
  <c r="E38" i="4"/>
  <c r="E50" i="4"/>
  <c r="G49" i="4"/>
  <c r="G48" i="4"/>
  <c r="G38" i="4" l="1"/>
  <c r="F39" i="4" s="1"/>
  <c r="D50" i="4"/>
  <c r="G50" i="4" s="1"/>
  <c r="D39" i="4" l="1"/>
  <c r="E39" i="4"/>
  <c r="E51" i="4"/>
  <c r="D51" i="4" s="1"/>
  <c r="H39" i="4" l="1"/>
  <c r="G39" i="4"/>
  <c r="E52" i="4"/>
  <c r="G51" i="4"/>
  <c r="D52" i="4"/>
  <c r="E40" i="4" l="1"/>
  <c r="E56" i="4" s="1"/>
  <c r="E58" i="4" s="1"/>
  <c r="AS30" i="2" s="1"/>
  <c r="D40" i="4"/>
  <c r="D56" i="4" s="1"/>
  <c r="F40" i="4"/>
  <c r="F56" i="4" s="1"/>
  <c r="F58" i="4" s="1"/>
  <c r="AT30" i="2" s="1"/>
  <c r="F52" i="4"/>
  <c r="D58" i="4" l="1"/>
  <c r="AR30" i="2" s="1"/>
  <c r="DP22" i="2"/>
  <c r="DP10" i="2"/>
  <c r="DP16" i="2" s="1"/>
  <c r="G52" i="4"/>
  <c r="DU22" i="2"/>
  <c r="DU10" i="2"/>
  <c r="DK22" i="2" l="1"/>
  <c r="DK10" i="2"/>
  <c r="DJ10" i="2" s="1"/>
  <c r="DQ10" i="2"/>
  <c r="DO10" i="2"/>
  <c r="AI47" i="2"/>
  <c r="DT10" i="2"/>
  <c r="DU16" i="2"/>
  <c r="DV10" i="2"/>
  <c r="DL10" i="2" l="1"/>
  <c r="DK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Hippich, Laura (LfL)</author>
    <author>Deimel, R. (LfL)</author>
  </authors>
  <commentList>
    <comment ref="CG4" authorId="0" shapeId="0" xr:uid="{3503955E-347B-4859-9E20-BB338BD7FE5A}">
      <text>
        <r>
          <rPr>
            <sz val="9"/>
            <color indexed="81"/>
            <rFont val="Segoe UI"/>
            <family val="2"/>
          </rPr>
          <t xml:space="preserve"> nochmal gerechnet wegen Zirkelbezug</t>
        </r>
      </text>
    </comment>
    <comment ref="CI4" authorId="0" shapeId="0" xr:uid="{1497CC04-969B-4534-82D5-7AB3F6A4CBF3}">
      <text>
        <r>
          <rPr>
            <sz val="9"/>
            <color indexed="81"/>
            <rFont val="Segoe UI"/>
            <family val="2"/>
          </rPr>
          <t>nur innerhalb dieser Zeiträume sind eingaben möglich (Daten - Datentools - Datenüberprüfung)</t>
        </r>
      </text>
    </comment>
    <comment ref="X5" authorId="1" shapeId="0" xr:uid="{71E207B3-A28F-484D-96BE-12133DF27BB4}">
      <text>
        <r>
          <rPr>
            <sz val="9"/>
            <color indexed="81"/>
            <rFont val="Segoe UI"/>
            <family val="2"/>
          </rPr>
          <t>Entspricht bei flüssigen organischen Düngern m³/ha.</t>
        </r>
      </text>
    </comment>
    <comment ref="Z5" authorId="1" shapeId="0" xr:uid="{742A5855-523C-43E3-AFEC-D42352A007E7}">
      <text>
        <r>
          <rPr>
            <sz val="9"/>
            <color indexed="81"/>
            <rFont val="Segoe UI"/>
            <family val="2"/>
          </rPr>
          <t>Entspricht bei flüssigen organischen Düngern kg/m³.</t>
        </r>
      </text>
    </comment>
    <comment ref="AA5" authorId="1" shapeId="0" xr:uid="{717B0A63-A25D-4737-B2DA-F1E8BD04A9D0}">
      <text>
        <r>
          <rPr>
            <sz val="9"/>
            <color indexed="81"/>
            <rFont val="Segoe UI"/>
            <family val="2"/>
          </rPr>
          <t>Entspricht bei flüssigen organischen Düngern kg/m³.</t>
        </r>
      </text>
    </comment>
    <comment ref="H6" authorId="0" shapeId="0" xr:uid="{274AA7FF-ECD1-4AAA-9416-F716C49BA2E7}">
      <text>
        <r>
          <rPr>
            <sz val="9"/>
            <color indexed="81"/>
            <rFont val="Segoe UI"/>
            <family val="2"/>
          </rPr>
          <t>Pflichtfeld. 
Als Ertrag ist das veröffentlichte fünfjährige Mittel oder ein Mittelwert nachweisbarer eigener Werte in diesem Zeitraum zu verwenden.</t>
        </r>
      </text>
    </comment>
    <comment ref="S6" authorId="1" shapeId="0" xr:uid="{D1EC19F8-73CB-4C4A-A903-7F00093D3576}">
      <text>
        <r>
          <rPr>
            <sz val="9"/>
            <color indexed="81"/>
            <rFont val="Segoe UI"/>
            <family val="2"/>
          </rPr>
          <t>Die Vorfrucht ist die Hauptkultur des vorherigen Düngejahres.</t>
        </r>
      </text>
    </comment>
    <comment ref="S10" authorId="1" shapeId="0" xr:uid="{AFE24DA0-139F-4232-AA02-6C66009E2ED2}">
      <text>
        <r>
          <rPr>
            <sz val="9"/>
            <color indexed="81"/>
            <rFont val="Segoe UI"/>
            <family val="2"/>
          </rPr>
          <t>Zwischenfrüchte mit einem Leguminosenanteil &gt;75 % haben keinen Düngebedarf.</t>
        </r>
      </text>
    </comment>
    <comment ref="Y10" authorId="0" shapeId="0" xr:uid="{816AB18F-438E-452C-B4BC-C747845729F8}">
      <text>
        <r>
          <rPr>
            <sz val="9"/>
            <color indexed="81"/>
            <rFont val="Segoe UI"/>
            <family val="2"/>
          </rPr>
          <t>Für die optimale Darstellung in der Grafik sind die Gaben chronologisch einzutragen.</t>
        </r>
      </text>
    </comment>
    <comment ref="DA10" authorId="0" shapeId="0" xr:uid="{5679E6F8-6EF2-44D8-AB86-E191FB24FBC2}">
      <text>
        <r>
          <rPr>
            <sz val="9"/>
            <color indexed="81"/>
            <rFont val="Segoe UI"/>
            <family val="2"/>
          </rPr>
          <t>entspr. Balkenhöhe
Balkenhöhe wird bei 90 gekappt</t>
        </r>
      </text>
    </comment>
    <comment ref="DA11" authorId="0" shapeId="0" xr:uid="{4CD09D42-574D-4252-A0F5-04AC7AE942E8}">
      <text>
        <r>
          <rPr>
            <b/>
            <sz val="9"/>
            <color indexed="81"/>
            <rFont val="Segoe UI"/>
            <family val="2"/>
          </rPr>
          <t xml:space="preserve">Zeilen belassen für Grafik
</t>
        </r>
      </text>
    </comment>
    <comment ref="BS12" authorId="0" shapeId="0" xr:uid="{9348DF2D-F11E-49A4-8E8F-997F14B368AB}">
      <text>
        <r>
          <rPr>
            <sz val="9"/>
            <color indexed="81"/>
            <rFont val="Segoe UI"/>
            <family val="2"/>
          </rPr>
          <t>wenn keine Zwischenfrucht oder Leguminosen &gt; 75 % dann Anrechnung organ. Düngung im FJ</t>
        </r>
      </text>
    </comment>
    <comment ref="DA12" authorId="0" shapeId="0" xr:uid="{007AA2F1-C53B-4740-B796-1AA7FC5A5BF9}">
      <text>
        <r>
          <rPr>
            <b/>
            <sz val="9"/>
            <color indexed="81"/>
            <rFont val="Segoe UI"/>
            <family val="2"/>
          </rPr>
          <t xml:space="preserve">Zeilen belassen für Grafik
</t>
        </r>
      </text>
    </comment>
    <comment ref="A13" authorId="0" shapeId="0" xr:uid="{A8CAE0A9-E1A1-4EAA-9AE7-ABCD962556D2}">
      <text>
        <r>
          <rPr>
            <sz val="9"/>
            <color indexed="81"/>
            <rFont val="Segoe UI"/>
            <family val="2"/>
          </rPr>
          <t>Der Wert ist ohne Vorzeichen anzugeben.</t>
        </r>
      </text>
    </comment>
    <comment ref="DA13" authorId="0" shapeId="0" xr:uid="{F2E30508-4D7C-4718-B0F6-A3D6DE7AB3CC}">
      <text>
        <r>
          <rPr>
            <b/>
            <sz val="9"/>
            <color indexed="81"/>
            <rFont val="Segoe UI"/>
            <family val="2"/>
          </rPr>
          <t xml:space="preserve">Zeilen belassen für Grafik
</t>
        </r>
      </text>
    </comment>
    <comment ref="H14" authorId="0" shapeId="0" xr:uid="{28C6D6D5-96CE-445C-A8F8-242FA4D3FB96}">
      <text>
        <r>
          <rPr>
            <sz val="9"/>
            <color indexed="81"/>
            <rFont val="Segoe UI"/>
            <family val="2"/>
          </rPr>
          <t>Pflichtfeld. Vorfrucht ist Hauptkultur des vorherigen Düngejahres.</t>
        </r>
      </text>
    </comment>
    <comment ref="Y14" authorId="0" shapeId="0" xr:uid="{E6EFE99A-9128-40C2-80AF-C8062CDEA0FA}">
      <text>
        <r>
          <rPr>
            <sz val="9"/>
            <color indexed="81"/>
            <rFont val="Segoe UI"/>
            <family val="2"/>
          </rPr>
          <t xml:space="preserve">Für die optimale Darstellung in der Grafik sind die Gaben chronologisch einzutragen, d.h. die 1. Gabe muss zeitlich </t>
        </r>
        <r>
          <rPr>
            <b/>
            <sz val="9"/>
            <color indexed="81"/>
            <rFont val="Segoe UI"/>
            <family val="2"/>
          </rPr>
          <t>vor</t>
        </r>
        <r>
          <rPr>
            <sz val="9"/>
            <color indexed="81"/>
            <rFont val="Segoe UI"/>
            <family val="2"/>
          </rPr>
          <t xml:space="preserve"> der 2. Gabe liegen.</t>
        </r>
      </text>
    </comment>
    <comment ref="A17" authorId="0" shapeId="0" xr:uid="{C44D56EB-81A2-426E-B919-E17105C98F5F}">
      <text>
        <r>
          <rPr>
            <sz val="9"/>
            <color indexed="81"/>
            <rFont val="Segoe UI"/>
            <family val="2"/>
          </rPr>
          <t>Pflichtfeld. Die im Boden verfügbare N-Menge ist als positive Zahl anzugeben.</t>
        </r>
      </text>
    </comment>
    <comment ref="DA18" authorId="0" shapeId="0" xr:uid="{C69C69E3-E085-4746-A60E-67B250E3750F}">
      <text>
        <r>
          <rPr>
            <b/>
            <sz val="9"/>
            <color indexed="81"/>
            <rFont val="Segoe UI"/>
            <family val="2"/>
          </rPr>
          <t xml:space="preserve">Zeilen belassen für Grafik
</t>
        </r>
      </text>
    </comment>
    <comment ref="DA19" authorId="0" shapeId="0" xr:uid="{A0EEC675-5761-4A22-B2D9-DD6A3222D4EE}">
      <text>
        <r>
          <rPr>
            <b/>
            <sz val="9"/>
            <color indexed="81"/>
            <rFont val="Segoe UI"/>
            <family val="2"/>
          </rPr>
          <t xml:space="preserve">Zeilen belassen für Grafik
</t>
        </r>
      </text>
    </comment>
    <comment ref="DA20" authorId="0" shapeId="0" xr:uid="{06A52AB0-4563-4866-8FDA-00FD58DCF772}">
      <text>
        <r>
          <rPr>
            <b/>
            <sz val="9"/>
            <color indexed="81"/>
            <rFont val="Segoe UI"/>
            <family val="2"/>
          </rPr>
          <t xml:space="preserve">Zeilen belassen für Grafik
</t>
        </r>
      </text>
    </comment>
    <comment ref="DF48" authorId="0" shapeId="0" xr:uid="{34A6F051-A25B-4FF4-BCA3-3F3010FB66BD}">
      <text>
        <r>
          <rPr>
            <sz val="9"/>
            <color indexed="81"/>
            <rFont val="Segoe UI"/>
            <family val="2"/>
          </rPr>
          <t>Flächendiagramme kommen nicht mit Lücken im Datenbestand zurecht. Ist bei 1. bzw. 2. Gabe keine Angabe gemacht worden, wird statt einer "Leerzelle" der 1.8. (1,G.) bzw. der 1.9. (2.G.) eingefügt. (Ist für den Anwender aber nicht erkenntlich).</t>
        </r>
      </text>
    </comment>
    <comment ref="AF53" authorId="0" shapeId="0" xr:uid="{2911787C-BE84-4280-AB65-816FA1536923}">
      <text>
        <r>
          <rPr>
            <b/>
            <sz val="9"/>
            <color indexed="81"/>
            <rFont val="Segoe UI"/>
            <family val="2"/>
          </rPr>
          <t>1=Mais, 2=Kartoffel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Sperger, Christian (LfL)</author>
  </authors>
  <commentList>
    <comment ref="O7" authorId="0" shapeId="0" xr:uid="{1847DB66-54AC-4D29-B5DA-0F1356B4ED43}">
      <text>
        <r>
          <rPr>
            <b/>
            <sz val="9"/>
            <color indexed="81"/>
            <rFont val="Tahoma"/>
            <family val="2"/>
          </rPr>
          <t>5 = WW-E</t>
        </r>
      </text>
    </comment>
    <comment ref="R7" authorId="0" shapeId="0" xr:uid="{84ED3E00-A13F-41BA-94F7-CB44DEFDD516}">
      <text>
        <r>
          <rPr>
            <b/>
            <sz val="9"/>
            <color indexed="81"/>
            <rFont val="Tahoma"/>
            <family val="2"/>
          </rPr>
          <t>1 = keine Kürzung
2 = Kürzung %
3 = Kürzung kg N/ha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Hippich, Laura (LfL)</author>
  </authors>
  <commentList>
    <comment ref="G3" authorId="0" shapeId="0" xr:uid="{6C555EB1-EA16-4DD1-A23B-1AB154E7D9F4}">
      <text>
        <r>
          <rPr>
            <sz val="9"/>
            <color indexed="81"/>
            <rFont val="Segoe UI"/>
            <family val="2"/>
          </rPr>
          <t>wenn keine Zwischenfrucht oder Leguminosen &gt; 75 % dann Anrechnung organ. Düngung im FJ</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Brandl, Maria (LfL)</author>
  </authors>
  <commentList>
    <comment ref="G2" authorId="0" shapeId="0" xr:uid="{B04B3406-E18F-493B-ADF0-2EB27BEBAAE7}">
      <text>
        <r>
          <rPr>
            <b/>
            <sz val="9"/>
            <color indexed="81"/>
            <rFont val="Tahoma"/>
            <family val="2"/>
          </rPr>
          <t xml:space="preserve">Art 1
1= Gülle
2= Mist
3= Jauche
4= sonstige org. Dünger
5= Gärrest </t>
        </r>
        <r>
          <rPr>
            <b/>
            <strike/>
            <sz val="9"/>
            <color indexed="81"/>
            <rFont val="Tahoma"/>
            <family val="2"/>
          </rPr>
          <t xml:space="preserve">
</t>
        </r>
        <r>
          <rPr>
            <b/>
            <sz val="9"/>
            <color indexed="81"/>
            <rFont val="Tahoma"/>
            <family val="2"/>
          </rPr>
          <t xml:space="preserve">6= Kompost 
7= Bodenhilfsstoff, Kultursubstrat, Pflanzenhilfsmittel
8= Stroh
9= Rebenhäcksel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<sst xmlns="http://schemas.openxmlformats.org/spreadsheetml/2006/main" count="944" uniqueCount="573">
  <si>
    <t>Kultur/Fläche</t>
  </si>
  <si>
    <t>Org. Düngung</t>
  </si>
  <si>
    <t>Menge</t>
  </si>
  <si>
    <t>Datum</t>
  </si>
  <si>
    <t>Abschlag</t>
  </si>
  <si>
    <t>Betriebsnr.:</t>
  </si>
  <si>
    <t>Hauptfrucht</t>
  </si>
  <si>
    <t>schlag</t>
  </si>
  <si>
    <t>erfolgt:</t>
  </si>
  <si>
    <t>kg N/ha</t>
  </si>
  <si>
    <t>Name:</t>
  </si>
  <si>
    <t>dt/ha</t>
  </si>
  <si>
    <t>Straße/Nr.</t>
  </si>
  <si>
    <t>PLZ/Ort:</t>
  </si>
  <si>
    <t>FID:</t>
  </si>
  <si>
    <t>Gülleanrechnung je nach Monat in % Nges</t>
  </si>
  <si>
    <t>zur Zweitfrucht</t>
  </si>
  <si>
    <t>Nmin</t>
  </si>
  <si>
    <t>Sollwert</t>
  </si>
  <si>
    <t>je</t>
  </si>
  <si>
    <t>Zu-</t>
  </si>
  <si>
    <t>Ab-</t>
  </si>
  <si>
    <t>Ausbringmonat</t>
  </si>
  <si>
    <t>Schlagname:</t>
  </si>
  <si>
    <t>zur Zwischenfrucht</t>
  </si>
  <si>
    <t>Gaben DüV/DSN</t>
  </si>
  <si>
    <t>Summe</t>
  </si>
  <si>
    <t>zeit Frühj</t>
  </si>
  <si>
    <t>BBCH31</t>
  </si>
  <si>
    <t>BBCH37</t>
  </si>
  <si>
    <t>min. Gabe</t>
  </si>
  <si>
    <t>max. Gabe</t>
  </si>
  <si>
    <t>org</t>
  </si>
  <si>
    <t xml:space="preserve"> 1.G</t>
  </si>
  <si>
    <t xml:space="preserve"> 2.G</t>
  </si>
  <si>
    <t>3.G</t>
  </si>
  <si>
    <t>Dung</t>
  </si>
  <si>
    <t>Kürzung um</t>
  </si>
  <si>
    <t>Vorfrucht</t>
  </si>
  <si>
    <t>Zwischenfrucht</t>
  </si>
  <si>
    <t>Zuschlag schlechte Bestandsentwicklung</t>
  </si>
  <si>
    <t>org. Dünger</t>
  </si>
  <si>
    <t>Wirksamkeit</t>
  </si>
  <si>
    <t>Abzug von 2. Gabe und 3. Gabe jeweils 50%</t>
  </si>
  <si>
    <t>Abzug wie im Frühjahr bei 1. Gabe</t>
  </si>
  <si>
    <t>Düngebedarf</t>
  </si>
  <si>
    <t>Kürzung</t>
  </si>
  <si>
    <t>Abzug  wie wenn Monat 3 im Frühjahr</t>
  </si>
  <si>
    <t>1. Gabe</t>
  </si>
  <si>
    <t>2. Gabe</t>
  </si>
  <si>
    <t>3. Gabe</t>
  </si>
  <si>
    <t>rechnerische Menge</t>
  </si>
  <si>
    <t>Mais:</t>
  </si>
  <si>
    <t xml:space="preserve"> --&gt; nur U-Fuß</t>
  </si>
  <si>
    <t xml:space="preserve"> --&gt; dann U-Fuß 30 kg, bei 20 cm 60 kg, der Rest zur Saat</t>
  </si>
  <si>
    <t>N-Verteilung auf die 3 Gaben: Getreide DSN</t>
  </si>
  <si>
    <t xml:space="preserve"> +-Zu/abschläge</t>
  </si>
  <si>
    <t>Organische Düngung (Frühjahr)</t>
  </si>
  <si>
    <t>Berechnung Düngebedarf vor org. Düng Frühjahr</t>
  </si>
  <si>
    <t>Frucht</t>
  </si>
  <si>
    <t>Fruchtname</t>
  </si>
  <si>
    <t>Wert Reduzierung</t>
  </si>
  <si>
    <t>rote Flächen</t>
  </si>
  <si>
    <t>Berechnung Düngebedarf -20%</t>
  </si>
  <si>
    <t xml:space="preserve">1. Gabe </t>
  </si>
  <si>
    <t xml:space="preserve">2. Gabe </t>
  </si>
  <si>
    <t>Maximalmenge (min+org)</t>
  </si>
  <si>
    <t>1.Gabe</t>
  </si>
  <si>
    <t>Rechnerische Menge</t>
  </si>
  <si>
    <t>1.</t>
  </si>
  <si>
    <t>Wenn Empfehlung Summe 0</t>
  </si>
  <si>
    <t>2.</t>
  </si>
  <si>
    <t>Minuswerte auf 0 setzen (1. Gabe)</t>
  </si>
  <si>
    <t>Minuswerte auf 0 setzen (2. Gabe)</t>
  </si>
  <si>
    <t>Minuswerte auf 0 setzen (3. Gabe)</t>
  </si>
  <si>
    <t xml:space="preserve">3. </t>
  </si>
  <si>
    <t>4.</t>
  </si>
  <si>
    <t>1. Gabe technische Mindestmenge beachten</t>
  </si>
  <si>
    <t>5.</t>
  </si>
  <si>
    <t>3. Gabe max. beachten</t>
  </si>
  <si>
    <t>6.</t>
  </si>
  <si>
    <t>3. Gabe technische Mindestmenge beachten</t>
  </si>
  <si>
    <t>7.</t>
  </si>
  <si>
    <t>1. Gabe max. beachten</t>
  </si>
  <si>
    <t>8.</t>
  </si>
  <si>
    <t>2. Gabe max. beachten</t>
  </si>
  <si>
    <t>2. Gabe wenn &gt;10 und &lt; Mindestmenge und 1. Gabe &gt; 50 dann 2. Gabe Mindestmenge</t>
  </si>
  <si>
    <t>9.</t>
  </si>
  <si>
    <t>Bei 2 Gabe Mindestmenge geprüft wenn möglich</t>
  </si>
  <si>
    <t>Technische Mindestmenge</t>
  </si>
  <si>
    <t>Hauptfrüchte</t>
  </si>
  <si>
    <t>Ertrag</t>
  </si>
  <si>
    <t>Anzahl Gaben</t>
  </si>
  <si>
    <t>Herbst</t>
  </si>
  <si>
    <t>Frühjahr</t>
  </si>
  <si>
    <t>flüssig</t>
  </si>
  <si>
    <t>fest</t>
  </si>
  <si>
    <t>Winterweizen C-Sorte</t>
  </si>
  <si>
    <t xml:space="preserve"> --</t>
  </si>
  <si>
    <t>Winterweizen A/B-Sorte</t>
  </si>
  <si>
    <t>Winterweizen E-Sorte</t>
  </si>
  <si>
    <t>Winterbrauweizen</t>
  </si>
  <si>
    <t>Sommerweizen</t>
  </si>
  <si>
    <t>Wintergerste mehrzeilig</t>
  </si>
  <si>
    <t>vor Saat</t>
  </si>
  <si>
    <t>Wintergerste zweizeilig</t>
  </si>
  <si>
    <t>Sommerfuttergerste</t>
  </si>
  <si>
    <t>Sommerbraugerste</t>
  </si>
  <si>
    <t>Winterroggen</t>
  </si>
  <si>
    <t>Sommerroggen</t>
  </si>
  <si>
    <t>Triticale</t>
  </si>
  <si>
    <t>Dinkel</t>
  </si>
  <si>
    <t>bei Saat</t>
  </si>
  <si>
    <t>Winterraps</t>
  </si>
  <si>
    <t>Sommerraps</t>
  </si>
  <si>
    <t>Kartoffel (Speise, Stärke)</t>
  </si>
  <si>
    <t>Kartoffel (Veredelung)</t>
  </si>
  <si>
    <t>Frühkartoffel</t>
  </si>
  <si>
    <t>Zuckerrüben</t>
  </si>
  <si>
    <t>Futter-, Runkelrüben</t>
  </si>
  <si>
    <t>Silomais (32 % TM)</t>
  </si>
  <si>
    <t>GPS Wintergerste</t>
  </si>
  <si>
    <t>GPS Sommergerste</t>
  </si>
  <si>
    <t>GPS Roggen</t>
  </si>
  <si>
    <t>GPS Hafer</t>
  </si>
  <si>
    <t>GPS Winterraps</t>
  </si>
  <si>
    <t>Wirkung</t>
  </si>
  <si>
    <t>Getreide</t>
  </si>
  <si>
    <t>Mais</t>
  </si>
  <si>
    <t>Kartoffeln</t>
  </si>
  <si>
    <t>Feldgras</t>
  </si>
  <si>
    <t>Raps</t>
  </si>
  <si>
    <t>Körnerleguminosen</t>
  </si>
  <si>
    <t>Klee</t>
  </si>
  <si>
    <t>Luzerne</t>
  </si>
  <si>
    <t>Kleegras</t>
  </si>
  <si>
    <t>Grünland</t>
  </si>
  <si>
    <t>Dauerbrache</t>
  </si>
  <si>
    <t>Gemüse ohne Kohlarten</t>
  </si>
  <si>
    <t>Kohlgemüse</t>
  </si>
  <si>
    <t>Z-Rüben mit Blattbergung</t>
  </si>
  <si>
    <t>Z-Rüben ohne Blattbergung</t>
  </si>
  <si>
    <t>sonstiges</t>
  </si>
  <si>
    <t>Nutzung</t>
  </si>
  <si>
    <t>überwinternd</t>
  </si>
  <si>
    <t>Anrechnung</t>
  </si>
  <si>
    <t>Gülle 1= nein</t>
  </si>
  <si>
    <t>Nichtleguminosen, abgefroren</t>
  </si>
  <si>
    <t>Nichtleg., nicht abgefroren, Einarb. Herbst</t>
  </si>
  <si>
    <t>Nichtleg., nicht abgefroren, Einarb. Frühjahr</t>
  </si>
  <si>
    <t>Nichtleguminosen mit Nutzung</t>
  </si>
  <si>
    <t>Leguminosen, abgefroren</t>
  </si>
  <si>
    <t>Leguminosen, nicht abgefroren, Einarb. Herbst</t>
  </si>
  <si>
    <t>Leguminosen, nicht abgefroren, Einarb. Frühjahr</t>
  </si>
  <si>
    <t>Leguminosen mit Nutzung</t>
  </si>
  <si>
    <t>Mineralboden</t>
  </si>
  <si>
    <t>humoser Boden</t>
  </si>
  <si>
    <t>anmooriger Boden</t>
  </si>
  <si>
    <t>Moorboden</t>
  </si>
  <si>
    <t>2021/22</t>
  </si>
  <si>
    <t>2022/23</t>
  </si>
  <si>
    <t>2023/24</t>
  </si>
  <si>
    <t>gasf. Verluste</t>
  </si>
  <si>
    <t>flüssig/fest</t>
  </si>
  <si>
    <t>1=flüssig</t>
  </si>
  <si>
    <t xml:space="preserve"> ---</t>
  </si>
  <si>
    <t>2=fest</t>
  </si>
  <si>
    <t>bis</t>
  </si>
  <si>
    <t>ab</t>
  </si>
  <si>
    <t>Mist</t>
  </si>
  <si>
    <t>Rind - Gülle</t>
  </si>
  <si>
    <t>Rind - Mist</t>
  </si>
  <si>
    <t>Rind - Jauche</t>
  </si>
  <si>
    <t>Schwein - Gülle</t>
  </si>
  <si>
    <t>Schwein - Mist</t>
  </si>
  <si>
    <t>Schwein - Jauche</t>
  </si>
  <si>
    <t>Geflügel - Mist</t>
  </si>
  <si>
    <t>Rebenhäcksel, Grüngut frisch (20 % TM)</t>
  </si>
  <si>
    <t>bis  01.10.</t>
  </si>
  <si>
    <t>ab 02.10.</t>
  </si>
  <si>
    <t xml:space="preserve">ja </t>
  </si>
  <si>
    <t>nein</t>
  </si>
  <si>
    <t>%</t>
  </si>
  <si>
    <t>&gt;</t>
  </si>
  <si>
    <t>Opt. Datum</t>
  </si>
  <si>
    <t>Zeitraum</t>
  </si>
  <si>
    <t xml:space="preserve"> 2. Gabe</t>
  </si>
  <si>
    <t>N-Nachlieferung aus Bodenvorrat</t>
  </si>
  <si>
    <t>Saatdat</t>
  </si>
  <si>
    <t>Ernetedat</t>
  </si>
  <si>
    <t>mineralisch</t>
  </si>
  <si>
    <t>Start</t>
  </si>
  <si>
    <t>Zeitachse</t>
  </si>
  <si>
    <t>Ende</t>
  </si>
  <si>
    <t>min. Düngeempfehlung</t>
  </si>
  <si>
    <t>Höhe Querbalken</t>
  </si>
  <si>
    <t>x</t>
  </si>
  <si>
    <t>Düngetermine Entw.stadium</t>
  </si>
  <si>
    <t>Flächenangaben</t>
  </si>
  <si>
    <t>N-Bedarfswert bei Ertrag nach Basisdaten</t>
  </si>
  <si>
    <t>zur Vorfrucht</t>
  </si>
  <si>
    <t>Zu-/Abschlag</t>
  </si>
  <si>
    <t>durch Ertragsdifferenz zu Basisdaten</t>
  </si>
  <si>
    <t>weißer Balken</t>
  </si>
  <si>
    <t>opt. Düngedatum organ.</t>
  </si>
  <si>
    <t>Beschriftung Querb / opt. DT</t>
  </si>
  <si>
    <t>±</t>
  </si>
  <si>
    <t>Gabe</t>
  </si>
  <si>
    <t>Ertragsdiff.</t>
  </si>
  <si>
    <t>Zw.frucht</t>
  </si>
  <si>
    <t>N-Nachl. Boden</t>
  </si>
  <si>
    <t>Min.H-Düng WG,WRa</t>
  </si>
  <si>
    <t>Vorfrucht 1. Gabe</t>
  </si>
  <si>
    <t>Vorfrucht 2. Gabe</t>
  </si>
  <si>
    <t>Zweitfrucht</t>
  </si>
  <si>
    <t>Herbst zu WG, WRa</t>
  </si>
  <si>
    <t>geplant FJ 1.Gabe</t>
  </si>
  <si>
    <t>geplant FJ 2.Gabe</t>
  </si>
  <si>
    <t>Anr. O.D.z. Zw.frucht</t>
  </si>
  <si>
    <t>FJ-Anr. O.D. zu WG,WAR</t>
  </si>
  <si>
    <r>
      <t>N</t>
    </r>
    <r>
      <rPr>
        <vertAlign val="subscript"/>
        <sz val="11"/>
        <color theme="1"/>
        <rFont val="Arial"/>
        <family val="2"/>
      </rPr>
      <t>min</t>
    </r>
  </si>
  <si>
    <r>
      <t>im Boden verfügbare N-Menge (N</t>
    </r>
    <r>
      <rPr>
        <vertAlign val="subscript"/>
        <sz val="11"/>
        <color theme="1"/>
        <rFont val="Arial"/>
        <family val="2"/>
      </rPr>
      <t>min</t>
    </r>
    <r>
      <rPr>
        <sz val="11"/>
        <color theme="1"/>
        <rFont val="Arial"/>
        <family val="2"/>
      </rPr>
      <t>)</t>
    </r>
  </si>
  <si>
    <t>Mindest-</t>
  </si>
  <si>
    <t>Beschriftung Querbalken</t>
  </si>
  <si>
    <t>Beschriftung opt. Düngedatum</t>
  </si>
  <si>
    <t>Beschfr weißer Balken/geplante Düngung</t>
  </si>
  <si>
    <t>empf. Gabenteilung</t>
  </si>
  <si>
    <t>geplante 1. Gabe</t>
  </si>
  <si>
    <t>geplante 2. Gabe</t>
  </si>
  <si>
    <t xml:space="preserve"> - Kürzung um</t>
  </si>
  <si>
    <t>Ausbring</t>
  </si>
  <si>
    <t>verluste</t>
  </si>
  <si>
    <t>1. G</t>
  </si>
  <si>
    <t>2. G</t>
  </si>
  <si>
    <t>3. G</t>
  </si>
  <si>
    <t>Höhe Querbalken II</t>
  </si>
  <si>
    <t>Beschriftung Querb II min. Düng. Herbst</t>
  </si>
  <si>
    <t>Mineral. Düngung</t>
  </si>
  <si>
    <t>Erntedatum</t>
  </si>
  <si>
    <t>Eintragungen sind nur möglich in den gelb gekennzeichnete Felder und beim "pull down menü".</t>
  </si>
  <si>
    <t>zeitliche Überschneidung organ. Gaben</t>
  </si>
  <si>
    <t>→</t>
  </si>
  <si>
    <t>Σ</t>
  </si>
  <si>
    <t>Beschriftung zeitl. Überschn.</t>
  </si>
  <si>
    <t>Optimaler Düngezeitraum organische Gaben</t>
  </si>
  <si>
    <t>DB</t>
  </si>
  <si>
    <t>N</t>
  </si>
  <si>
    <t>Stickstoff</t>
  </si>
  <si>
    <t>WG</t>
  </si>
  <si>
    <t>Wintergerste</t>
  </si>
  <si>
    <t>WRa</t>
  </si>
  <si>
    <t>n. Kürz.</t>
  </si>
  <si>
    <t>nach Kürzung</t>
  </si>
  <si>
    <t>Ernte→</t>
  </si>
  <si>
    <t>Ernte nach 01.09.</t>
  </si>
  <si>
    <t>zeitiges Frühjahr</t>
  </si>
  <si>
    <t xml:space="preserve"> kg N </t>
  </si>
  <si>
    <t>Beschreibung</t>
  </si>
  <si>
    <t>Kurz-</t>
  </si>
  <si>
    <t>Grafik</t>
  </si>
  <si>
    <t>Gülle</t>
  </si>
  <si>
    <t>Jauche</t>
  </si>
  <si>
    <t>BGR</t>
  </si>
  <si>
    <t>Komp</t>
  </si>
  <si>
    <t>GG</t>
  </si>
  <si>
    <t>zeitl. Überschneidung</t>
  </si>
  <si>
    <r>
      <t xml:space="preserve">Düngedatum </t>
    </r>
    <r>
      <rPr>
        <b/>
        <sz val="11"/>
        <rFont val="Calibri"/>
        <family val="2"/>
        <scheme val="minor"/>
      </rPr>
      <t>min</t>
    </r>
    <r>
      <rPr>
        <sz val="11"/>
        <rFont val="Calibri"/>
        <family val="2"/>
        <scheme val="minor"/>
      </rPr>
      <t xml:space="preserve"> Frühjahr</t>
    </r>
  </si>
  <si>
    <t>Beschriftung Textfelder Grafik</t>
  </si>
  <si>
    <t>Legende grau</t>
  </si>
  <si>
    <t>Textfeld I</t>
  </si>
  <si>
    <t>Textfeld II</t>
  </si>
  <si>
    <t>Organisch</t>
  </si>
  <si>
    <t>Mineralisch</t>
  </si>
  <si>
    <t>Ertrags-/Qualitätswirksamkeit der Gabe</t>
  </si>
  <si>
    <t>Düngebedarf während der Vegetation</t>
  </si>
  <si>
    <t>pflanzenbaul. sinnvolle min. Düngeempfehlung</t>
  </si>
  <si>
    <t>Düngetermine min.</t>
  </si>
  <si>
    <t>in Bestand</t>
  </si>
  <si>
    <r>
      <t xml:space="preserve">Düngedatum flüssige </t>
    </r>
    <r>
      <rPr>
        <b/>
        <sz val="11"/>
        <rFont val="Calibri"/>
        <family val="2"/>
        <scheme val="minor"/>
      </rPr>
      <t>org.</t>
    </r>
    <r>
      <rPr>
        <sz val="11"/>
        <rFont val="Calibri"/>
        <family val="2"/>
        <scheme val="minor"/>
      </rPr>
      <t xml:space="preserve"> Frühjahr</t>
    </r>
  </si>
  <si>
    <t>BBCH39</t>
  </si>
  <si>
    <t>BBCH30</t>
  </si>
  <si>
    <t>Zu-/Abschlag (kg N/ha)</t>
  </si>
  <si>
    <t xml:space="preserve"> 1=keine; 2=mittel; 3=hoch; 4=sehr hoch</t>
  </si>
  <si>
    <t>Bedeutung/Wirkung min.</t>
  </si>
  <si>
    <t>1=flüssig, 2= fest</t>
  </si>
  <si>
    <t>Saat/Ernte</t>
  </si>
  <si>
    <t>Höhe Balken</t>
  </si>
  <si>
    <t>Beschriftung Saat/Ernte</t>
  </si>
  <si>
    <t>Kulturen ohne Sonderfälle</t>
  </si>
  <si>
    <t>Ergebnis Kulturen ohne Sonderfälle</t>
  </si>
  <si>
    <t>Ergebnis:</t>
  </si>
  <si>
    <t>Saatdatum</t>
  </si>
  <si>
    <t>opt. Düngedatum 1. G.</t>
  </si>
  <si>
    <t>opt. Düngedatum 2. G.</t>
  </si>
  <si>
    <t>opt. Düngedatum 3. G.</t>
  </si>
  <si>
    <t>Optimales datum für min</t>
  </si>
  <si>
    <t>0-30</t>
  </si>
  <si>
    <t>30 - 49 kg</t>
  </si>
  <si>
    <t>50-89</t>
  </si>
  <si>
    <t xml:space="preserve"> --&gt; 30 -u-Fuß, 60 bei 20 cm</t>
  </si>
  <si>
    <t>90 - 99 kg</t>
  </si>
  <si>
    <t>100-114</t>
  </si>
  <si>
    <t xml:space="preserve"> --&gt; 30 -u-Fuß, 20 bei 20 cm</t>
  </si>
  <si>
    <t xml:space="preserve"> --&gt; Rest -u-Fuß, 70 bei 20 cm</t>
  </si>
  <si>
    <t>&gt;115 kg</t>
  </si>
  <si>
    <t>kg N</t>
  </si>
  <si>
    <t>zur</t>
  </si>
  <si>
    <t>Unterfußdüngung</t>
  </si>
  <si>
    <t>Sonderfall: Mais</t>
  </si>
  <si>
    <t>Pflanzenbaul. Zeitpunkt/Entwicklungsstadium</t>
  </si>
  <si>
    <t>Text Sonderfälle</t>
  </si>
  <si>
    <t>Mindestmengen</t>
  </si>
  <si>
    <t>Gabe enthält Mindestmenge kg N (org + min)</t>
  </si>
  <si>
    <t>Mehr Düngung als Mindestmenge</t>
  </si>
  <si>
    <t>Abzug</t>
  </si>
  <si>
    <t>Düngung unter Berücksichtigung Mindestmenge</t>
  </si>
  <si>
    <t>Technische Mindestmenge beachten</t>
  </si>
  <si>
    <t>Priorität</t>
  </si>
  <si>
    <t>Verschieben kleinste Zahl</t>
  </si>
  <si>
    <t xml:space="preserve">nach </t>
  </si>
  <si>
    <t>neue Menge</t>
  </si>
  <si>
    <t>Mengen unter Mindestmengen</t>
  </si>
  <si>
    <t>Mengen abzugeben über Mindestmenge bzw. technische Mindestmenge</t>
  </si>
  <si>
    <t>Mengen die reduziert werden</t>
  </si>
  <si>
    <t>Mengen unter Mindestmengen zur Mindestmenge</t>
  </si>
  <si>
    <t>Über Maxwerte</t>
  </si>
  <si>
    <t>Maximalmenge (min) (100% oder 60 % ??????org wird abgezogen)</t>
  </si>
  <si>
    <t>Unter Maxwerte</t>
  </si>
  <si>
    <t>neue Mengen</t>
  </si>
  <si>
    <t>Neu beim Gabenschüttler</t>
  </si>
  <si>
    <t xml:space="preserve"> - org. Düngung Taggenau</t>
  </si>
  <si>
    <t xml:space="preserve"> - Kürzung besonders bei schlechterer N-Verwertung</t>
  </si>
  <si>
    <t xml:space="preserve"> - automatische Berücksichtigung der org. Düngung zur Zwischenfrucht</t>
  </si>
  <si>
    <t xml:space="preserve"> - automatische Berücksichtigung der org. Düngung im Herbst</t>
  </si>
  <si>
    <t xml:space="preserve"> - Gabenschüttlung unter Berücksichtigung der pflanzenbaulichen und technischen Mindestmengen</t>
  </si>
  <si>
    <t xml:space="preserve"> - Berücksichtigung der min. Düngung im Herbst für alle Kulturen</t>
  </si>
  <si>
    <t>mineralische Mindestmenge</t>
  </si>
  <si>
    <t xml:space="preserve"> - org. Düngung bei der Mindestmenge zu 100 % berücksichtigt</t>
  </si>
  <si>
    <t>Sonderfall</t>
  </si>
  <si>
    <t>3 Blatt</t>
  </si>
  <si>
    <t>Gesamtmindestmenge (min+org)</t>
  </si>
  <si>
    <t>Stand: Januar 2022</t>
  </si>
  <si>
    <t>bei</t>
  </si>
  <si>
    <t>je Frucht</t>
  </si>
  <si>
    <t xml:space="preserve">Anzahl Gaben </t>
  </si>
  <si>
    <t>z. Frühj.</t>
  </si>
  <si>
    <t xml:space="preserve"> +3-4Wo</t>
  </si>
  <si>
    <t>min. Mindestmenge (mind. Technische Mindestmenge)</t>
  </si>
  <si>
    <t>Wenn Menge unter Mindestmenge (=0) dann Menge erhalten</t>
  </si>
  <si>
    <t>Anzahl</t>
  </si>
  <si>
    <t>Gaben</t>
  </si>
  <si>
    <t>keine</t>
  </si>
  <si>
    <t>Wenn 1 Gabe unter Mindestmenge und 2 Gaben empfohlen dann 1 Gabe</t>
  </si>
  <si>
    <t>U-Fuß</t>
  </si>
  <si>
    <t>20 cm</t>
  </si>
  <si>
    <t>x= Restmenge</t>
  </si>
  <si>
    <t>Mittlerer Ertrag</t>
  </si>
  <si>
    <t>2024/25</t>
  </si>
  <si>
    <t>Optimaler Düngezeitraum mineralischer Gaben</t>
  </si>
  <si>
    <t>zu WG, WRA Herbst</t>
  </si>
  <si>
    <t xml:space="preserve">Herbst </t>
  </si>
  <si>
    <t>Empfehlung</t>
  </si>
  <si>
    <t>Eigene Angaben und Planung Frühjahr</t>
  </si>
  <si>
    <t xml:space="preserve"> - Nmin auch in der 2./3. Tiefe abziehen</t>
  </si>
  <si>
    <t xml:space="preserve"> - Mindestmenge je Kultur</t>
  </si>
  <si>
    <t>Gülleanrechnung je nach Gabe in % Nges</t>
  </si>
  <si>
    <t>optimaler Zeitpunkt 1. Gabe (März)</t>
  </si>
  <si>
    <t>optimaler Zeitpunkt 2. Gabe (April)</t>
  </si>
  <si>
    <t>optimaler Zeitpunkt 3. Gabe (Mai)</t>
  </si>
  <si>
    <t>v. Legen            .</t>
  </si>
  <si>
    <t>organisch</t>
  </si>
  <si>
    <t>min.</t>
  </si>
  <si>
    <r>
      <t>N</t>
    </r>
    <r>
      <rPr>
        <b/>
        <vertAlign val="subscript"/>
        <sz val="11"/>
        <color theme="1"/>
        <rFont val="Arial"/>
        <family val="2"/>
      </rPr>
      <t>ges</t>
    </r>
  </si>
  <si>
    <r>
      <t>N</t>
    </r>
    <r>
      <rPr>
        <vertAlign val="subscript"/>
        <sz val="11"/>
        <color theme="1"/>
        <rFont val="Arial"/>
        <family val="2"/>
      </rPr>
      <t>ges</t>
    </r>
  </si>
  <si>
    <t>Gesamtstickstoff</t>
  </si>
  <si>
    <t>3-4 Wochen nach vorheriger Gabe</t>
  </si>
  <si>
    <t>v. Dammf.</t>
  </si>
  <si>
    <t>FJ-Anrechnung der Gabe zur Zwischenfrucht</t>
  </si>
  <si>
    <r>
      <t>NH</t>
    </r>
    <r>
      <rPr>
        <b/>
        <vertAlign val="subscript"/>
        <sz val="11"/>
        <color theme="1"/>
        <rFont val="Arial"/>
        <family val="2"/>
      </rPr>
      <t>4</t>
    </r>
    <r>
      <rPr>
        <b/>
        <sz val="11"/>
        <color theme="1"/>
        <rFont val="Arial"/>
        <family val="2"/>
      </rPr>
      <t>-N</t>
    </r>
  </si>
  <si>
    <t>Beginn Zeitstrahl</t>
  </si>
  <si>
    <t>Ende Zeitstrahl</t>
  </si>
  <si>
    <t>Bezugsdaten</t>
  </si>
  <si>
    <t>Mais =1</t>
  </si>
  <si>
    <t>Kartoffel= 2</t>
  </si>
  <si>
    <t>Raps/WG=3</t>
  </si>
  <si>
    <t>GPS Winterweizen</t>
  </si>
  <si>
    <t>akt. Jahr</t>
  </si>
  <si>
    <t>Grenzen Dat.eingabe</t>
  </si>
  <si>
    <t>Zwifruchtdüng.</t>
  </si>
  <si>
    <t>Frühjahrsdüng.</t>
  </si>
  <si>
    <t>Wraps/WG</t>
  </si>
  <si>
    <t>NH4-N-Anteil</t>
  </si>
  <si>
    <t>höherer Wert</t>
  </si>
  <si>
    <t>Geflügel - Kot</t>
  </si>
  <si>
    <t>Kot</t>
  </si>
  <si>
    <t>t/ha</t>
  </si>
  <si>
    <t>kg/t</t>
  </si>
  <si>
    <t>unvollst.</t>
  </si>
  <si>
    <t xml:space="preserve"> Angabe</t>
  </si>
  <si>
    <t>im Herbst nur zu WG, WRa</t>
  </si>
  <si>
    <t xml:space="preserve"> - Nur bei Hauptfrucht (GPS) WG, (GPS) WRA wird flüssige organische Herbstdüngung im Herbst berücksichtigt. Bei allen anderen Kulturen vollständige Anrechnung im Frühjahr</t>
  </si>
  <si>
    <r>
      <t xml:space="preserve"> - Gabenschüttler für weiter Kulturen (Rüben, Sonnenblumen, Lein, Kartoffeln, </t>
    </r>
    <r>
      <rPr>
        <sz val="11"/>
        <color theme="4"/>
        <rFont val="Arial"/>
        <family val="2"/>
      </rPr>
      <t>Silomais) ohne Lieschkolben und CCM</t>
    </r>
  </si>
  <si>
    <t xml:space="preserve"> - Plausibilisierungen bei Datumseingabe</t>
  </si>
  <si>
    <t xml:space="preserve"> - Fehlermeldungen: unvollständige Eingabe allg. Angaben (Nmin, Ertrag, Vorfrucht), unvollständige Angabe organ. Düngung und Fehlermeldung wenn organische Düngung den Düngebedarf überschreitet</t>
  </si>
  <si>
    <t>zur Saat</t>
  </si>
  <si>
    <t>Organische Düngung</t>
  </si>
  <si>
    <t>vor Dammfräse</t>
  </si>
  <si>
    <t>v. Legen</t>
  </si>
  <si>
    <t>vor Legen</t>
  </si>
  <si>
    <t xml:space="preserve">org. </t>
  </si>
  <si>
    <t>opt. Zeitraum</t>
  </si>
  <si>
    <t>optimaler Düngezeitraum</t>
  </si>
  <si>
    <t>HF</t>
  </si>
  <si>
    <t>im Boden verfügbare Stickstoffmenge</t>
  </si>
  <si>
    <t>Mais ohne Unterfußdüngung</t>
  </si>
  <si>
    <t xml:space="preserve">Sonderfall </t>
  </si>
  <si>
    <t>bei 3 Blatt</t>
  </si>
  <si>
    <t>A) mit Unterfußdüngung</t>
  </si>
  <si>
    <t>A) Mais mit Unterfußdüngung</t>
  </si>
  <si>
    <t>B) Mais ohne Unterfußdüngung (IAB2 Versuche)</t>
  </si>
  <si>
    <t>B) ohne Unterfußdüngung</t>
  </si>
  <si>
    <t>Ergebnis Sonderfall Mais (A)</t>
  </si>
  <si>
    <t>Ergebnis Sonderfall Mais (B) o. UF</t>
  </si>
  <si>
    <t>mit 25-75 % Leguminosen, abgefroren</t>
  </si>
  <si>
    <t>mit 25-75 % Leguminosen mit Nutzung</t>
  </si>
  <si>
    <t>mit 25-75 % Leg., nicht abgefroren, Einarb. Herbst</t>
  </si>
  <si>
    <t>mit 25-75 % Leg., nicht abgefroren, Einarb. Frühjahr</t>
  </si>
  <si>
    <t>Neu in Programmversion 22/23</t>
  </si>
  <si>
    <t>(org anrechenbar + min)</t>
  </si>
  <si>
    <t xml:space="preserve">min. Gabe </t>
  </si>
  <si>
    <t>opt. Zeitpunkt 1. Gabe (März)</t>
  </si>
  <si>
    <t>opt. Zeitpunkt 2. Gabe (April)</t>
  </si>
  <si>
    <t>opt. Zeitpunkt 3. Gabe (Mai)</t>
  </si>
  <si>
    <t>Index</t>
  </si>
  <si>
    <t>Jahr umstellen</t>
  </si>
  <si>
    <t>Vorjahr</t>
  </si>
  <si>
    <t>Saison</t>
  </si>
  <si>
    <t>Monate</t>
  </si>
  <si>
    <t>aktuelles Jahr</t>
  </si>
  <si>
    <t>2025/26</t>
  </si>
  <si>
    <t>2026/27</t>
  </si>
  <si>
    <t>2027/28</t>
  </si>
  <si>
    <t>opt_dat_min_FJ_Gabe1</t>
  </si>
  <si>
    <t>opt_dat_min_FJ_Gabe2</t>
  </si>
  <si>
    <t>opt_dat_min_FJ_Gabe3</t>
  </si>
  <si>
    <t>opt_dat_org_FJ_Gabe1</t>
  </si>
  <si>
    <t>opt_dat_org_FJ_Gabe2</t>
  </si>
  <si>
    <t>opt_dat_org_FJ_Gabe3</t>
  </si>
  <si>
    <t>bedeutung_gabe3</t>
  </si>
  <si>
    <t>anzahl_gaben</t>
  </si>
  <si>
    <t>dbe_vorfrucht_abschlag</t>
  </si>
  <si>
    <t>orgduenger_edvname</t>
  </si>
  <si>
    <t>n_mindestwirksamkeit_acker</t>
  </si>
  <si>
    <t>stadium_gabe_herbst</t>
  </si>
  <si>
    <t>stadium_FJ_Gabe1</t>
  </si>
  <si>
    <t>stadium_FJ_Gabe2</t>
  </si>
  <si>
    <t>stadium_FJ_Gabe3</t>
  </si>
  <si>
    <t>opt_dat_min_H_Gabe</t>
  </si>
  <si>
    <t>opt_tage_min_H_Gabe</t>
  </si>
  <si>
    <t>opt_tage_min_FJ_Gabe1</t>
  </si>
  <si>
    <t>opt_tage_min_FJ_Gabe2</t>
  </si>
  <si>
    <t>opt_tage_min_FJ_Gabe3</t>
  </si>
  <si>
    <t>opt_dat_org_H_Gabe</t>
  </si>
  <si>
    <t>opt_tage_org_H_Gabe</t>
  </si>
  <si>
    <t>opt_tage_org_FJ_Gabe1</t>
  </si>
  <si>
    <t>opt_tage_org_FJ_Gabe2</t>
  </si>
  <si>
    <t>opt_tage_org_FJ_Gabe3</t>
  </si>
  <si>
    <t>bedeutung_h_gabe</t>
  </si>
  <si>
    <t>bedeutung_gabe1</t>
  </si>
  <si>
    <t>bedeutung_gabe2</t>
  </si>
  <si>
    <t>GPS Triticale</t>
  </si>
  <si>
    <t>N-Abschlag</t>
  </si>
  <si>
    <t>Tiefe Nmin</t>
  </si>
  <si>
    <t>Grafik Standzeit (gepunktet im Hintergrund)</t>
  </si>
  <si>
    <t>mineralische Düngung</t>
  </si>
  <si>
    <t xml:space="preserve">Grafik </t>
  </si>
  <si>
    <t>organ.</t>
  </si>
  <si>
    <t>neu ab 2021 (Aenderungen Christian)</t>
  </si>
  <si>
    <t>Boden</t>
  </si>
  <si>
    <t>Organ. Düngung</t>
  </si>
  <si>
    <t>leg_75proz</t>
  </si>
  <si>
    <t>Für die Einhaltung der Vorgaben der Düngeverordnung ist der Nutzer selbst verantwortlich.</t>
  </si>
  <si>
    <t>Allgemeine Abkürzungen</t>
  </si>
  <si>
    <t>Biogasgärrest</t>
  </si>
  <si>
    <t>Abkürzungen von Kulturen, organ. Düngern etc.</t>
  </si>
  <si>
    <t>zur Hauptfrucht Herbst</t>
  </si>
  <si>
    <t>Winterrung (1=WG/Wraps, 2=sontige Wintergetreide, 3=Sommerung)</t>
  </si>
  <si>
    <t>Herbsdüngung erlaubt (1=ja; 2=nein)</t>
  </si>
  <si>
    <t xml:space="preserve">FJ-Anrechnung der Gabe im Herbst </t>
  </si>
  <si>
    <t>vor Saat            .</t>
  </si>
  <si>
    <t>bas_lang_kul</t>
  </si>
  <si>
    <t>dwt_hfru_max_si</t>
  </si>
  <si>
    <t>ertr_mittel_kul</t>
  </si>
  <si>
    <t>kul_nbedarf_dbe</t>
  </si>
  <si>
    <t>soll_verteil_g1_dsn</t>
  </si>
  <si>
    <t>soll_verteil_g2_dsn</t>
  </si>
  <si>
    <t>soll_verteil_g3_dsn</t>
  </si>
  <si>
    <t>kul_ertrdiff_dbe</t>
  </si>
  <si>
    <t>kul_zuschl_dbe</t>
  </si>
  <si>
    <t>kul_abschl_dbe</t>
  </si>
  <si>
    <t>opt_dat_saat</t>
  </si>
  <si>
    <t>ernte_dat_si</t>
  </si>
  <si>
    <t>dung_verteil_g1_min_dsn</t>
  </si>
  <si>
    <t>dung_verteil_g2_min_dsn</t>
  </si>
  <si>
    <t>dung_verteil_g3_min_dsn</t>
  </si>
  <si>
    <t>dung_verteil_g1_max_dsn</t>
  </si>
  <si>
    <t>dung_verteil_g2_max_dsn</t>
  </si>
  <si>
    <t>dung_verteil_g3_max_dsn</t>
  </si>
  <si>
    <t>feb_fl_g1_dsn</t>
  </si>
  <si>
    <t>feb_fl_g2_dsn</t>
  </si>
  <si>
    <t>feb_fl_g3_dsn</t>
  </si>
  <si>
    <t>feb_fs_g1_dsn</t>
  </si>
  <si>
    <t>feb_fs_g2_dsn</t>
  </si>
  <si>
    <t>feb_fs_g3_dsn</t>
  </si>
  <si>
    <t>apr_fl_g1_dsn</t>
  </si>
  <si>
    <t>apr_fl_g2_dsn</t>
  </si>
  <si>
    <t>apr_fl_g3_dsn</t>
  </si>
  <si>
    <t>apr_fs_g1_dsn</t>
  </si>
  <si>
    <t>apr_fs_g2_dsn</t>
  </si>
  <si>
    <t>apr_fs_g3_dsn</t>
  </si>
  <si>
    <t>mai_fl_g1_dsn</t>
  </si>
  <si>
    <t>mai_fl_g2_dsn</t>
  </si>
  <si>
    <t>mai_fl_g3_dsn</t>
  </si>
  <si>
    <t>mai_fs_g1_dsn</t>
  </si>
  <si>
    <t>mai_fs_g2_dsn</t>
  </si>
  <si>
    <t>mai_fs_g3_dsn</t>
  </si>
  <si>
    <t>sonderfall_dsn</t>
  </si>
  <si>
    <t>+++Getreide+++</t>
  </si>
  <si>
    <t/>
  </si>
  <si>
    <t>Winterbraugerste</t>
  </si>
  <si>
    <t>Sommerhafer</t>
  </si>
  <si>
    <t>Winterhartweizen</t>
  </si>
  <si>
    <t>+++Körnermais, sonstige Körnernutzung+++</t>
  </si>
  <si>
    <t>Körnermais</t>
  </si>
  <si>
    <t>+++Ölfrüchte+++</t>
  </si>
  <si>
    <t>+3-4Wo</t>
  </si>
  <si>
    <t>Sonnenblumen</t>
  </si>
  <si>
    <t>Öllein, Faserflachs</t>
  </si>
  <si>
    <t>+++Hackfrüchte+++</t>
  </si>
  <si>
    <t>+3-4 Wo.</t>
  </si>
  <si>
    <t>+++Futterpflanzen+++</t>
  </si>
  <si>
    <t>GPS Rübsen</t>
  </si>
  <si>
    <t>Brache</t>
  </si>
  <si>
    <t>Düngebedarf ohne Kürzung</t>
  </si>
  <si>
    <t>(nach Kürzung)</t>
  </si>
  <si>
    <t>Wirkung der Düngegaben</t>
  </si>
  <si>
    <t>Gabe 1</t>
  </si>
  <si>
    <t xml:space="preserve">Gabe 2 </t>
  </si>
  <si>
    <t>Gabe 3</t>
  </si>
  <si>
    <t>.       Unterfuß</t>
  </si>
  <si>
    <t>kons_org</t>
  </si>
  <si>
    <t>art_org</t>
  </si>
  <si>
    <t>hufukl_org</t>
  </si>
  <si>
    <t>Art 1</t>
  </si>
  <si>
    <t>1 = von HuK</t>
  </si>
  <si>
    <t>2 = von nicht HuK</t>
  </si>
  <si>
    <t>Art Org</t>
  </si>
  <si>
    <t>HuK</t>
  </si>
  <si>
    <t>Index Dünger</t>
  </si>
  <si>
    <t>entspricht</t>
  </si>
  <si>
    <t>Bodenart</t>
  </si>
  <si>
    <t>sonst. Tiere - Gülle</t>
  </si>
  <si>
    <t>sonst. HuK - Mist</t>
  </si>
  <si>
    <t>sonst. Nicht-HuK - Mist</t>
  </si>
  <si>
    <t>sonst. Tiere - Jauche</t>
  </si>
  <si>
    <t>Biogasgärrest flüssig</t>
  </si>
  <si>
    <t>Biogasgärrest fest</t>
  </si>
  <si>
    <t>Kompost(Grüngut) BioAbfV</t>
  </si>
  <si>
    <t>Kompost(Bioabfall) BioAbfV</t>
  </si>
  <si>
    <t>Rebenhäcksel, Grüngut frisch</t>
  </si>
  <si>
    <t>Huf- und Klauentiere</t>
  </si>
  <si>
    <t>Gesamt</t>
  </si>
  <si>
    <t>© Bayerische Landesanstalt für Landwirtschaft, Institut für Agrarökologie - Düngung (Of, De, Kj, Ks, Hi), Stand: 29.08.2025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</si>
</sst>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
    <numFmt numFmtId="165" formatCode="dd/mm/yy;@"/>
    <numFmt numFmtId="166" formatCode="0.000"/>
    <numFmt numFmtId="167" formatCode="0.0"/>
    <numFmt numFmtId="168" formatCode="_-* #,##0.00\ _€_-;\-* #,##0.00\ _€_-;_-* &quot;-&quot;??\ _€_-;_-@_-"/>
    <numFmt numFmtId="169" formatCode="\+0;\-0;0"/>
    <numFmt numFmtId="170" formatCode="0.00000"/>
    <numFmt numFmtId="171" formatCode="0.000000"/>
    <numFmt numFmtId="172" formatCode="0.0000000"/>
    <numFmt numFmtId="173" formatCode="d/m/yyyy"/>
  </numFmts>
  <fonts count="60" x14ac:knownFonts="1">
    <font>
      <sz val="11"/>
      <color theme="1"/>
      <name val="Calibri"/>
      <family val="2"/>
      <scheme val="minor"/>
    </font>
    <font>
      <sz val="11"/>
      <color theme="1"/>
      <name val="Arial"/>
      <family val="2"/>
    </font>
    <font>
      <b/>
      <sz val="14"/>
      <name val="Arial"/>
      <family val="2"/>
    </font>
    <font>
      <sz val="9"/>
      <name val="Arial"/>
      <family val="2"/>
    </font>
    <font>
      <sz val="10"/>
      <color theme="1"/>
      <name val="Arial"/>
      <family val="2"/>
    </font>
    <font>
      <b/>
      <u/>
      <sz val="11"/>
      <color theme="1"/>
      <name val="Arial"/>
      <family val="2"/>
    </font>
    <font>
      <u/>
      <sz val="11"/>
      <color theme="1"/>
      <name val="Arial"/>
      <family val="2"/>
    </font>
    <font>
      <b/>
      <sz val="11"/>
      <color theme="1"/>
      <name val="Arial"/>
      <family val="2"/>
    </font>
    <font>
      <sz val="8"/>
      <color theme="1"/>
      <name val="Arial"/>
      <family val="2"/>
    </font>
    <font>
      <sz val="10"/>
      <name val="Arial"/>
      <family val="2"/>
    </font>
    <font>
      <sz val="11"/>
      <name val="Calibri"/>
      <family val="2"/>
      <scheme val="minor"/>
    </font>
    <font>
      <b/>
      <sz val="8"/>
      <name val="Arial"/>
      <family val="2"/>
    </font>
    <font>
      <b/>
      <sz val="12"/>
      <color theme="1"/>
      <name val="Arial"/>
      <family val="2"/>
    </font>
    <font>
      <b/>
      <sz val="10"/>
      <color theme="1"/>
      <name val="Arial"/>
      <family val="2"/>
    </font>
    <font>
      <sz val="11"/>
      <name val="Arial"/>
      <family val="2"/>
    </font>
    <font>
      <sz val="9"/>
      <color theme="1"/>
      <name val="Arial"/>
      <family val="2"/>
    </font>
    <font>
      <sz val="9"/>
      <color indexed="81"/>
      <name val="Segoe UI"/>
      <family val="2"/>
    </font>
    <font>
      <sz val="9"/>
      <color indexed="81"/>
      <name val="Tahoma"/>
      <family val="2"/>
    </font>
    <font>
      <b/>
      <sz val="9"/>
      <color indexed="81"/>
      <name val="Tahoma"/>
      <family val="2"/>
    </font>
    <font>
      <sz val="9"/>
      <name val="Calibri"/>
      <family val="2"/>
      <scheme val="minor"/>
    </font>
    <font>
      <b/>
      <sz val="10"/>
      <name val="Arial"/>
      <family val="2"/>
    </font>
    <font>
      <sz val="10"/>
      <color indexed="8"/>
      <name val="Arial"/>
      <family val="2"/>
    </font>
    <font>
      <b/>
      <sz val="9"/>
      <color indexed="81"/>
      <name val="Segoe UI"/>
      <family val="2"/>
    </font>
    <font>
      <sz val="10"/>
      <color theme="0" tint="-0.499984740745262"/>
      <name val="Arial"/>
      <family val="2"/>
    </font>
    <font>
      <sz val="8"/>
      <name val="Calibri"/>
      <family val="2"/>
      <scheme val="minor"/>
    </font>
    <font>
      <b/>
      <sz val="8"/>
      <color theme="1"/>
      <name val="Arial"/>
      <family val="2"/>
    </font>
    <font>
      <sz val="11"/>
      <color theme="1"/>
      <name val="Calibri"/>
      <family val="2"/>
    </font>
    <font>
      <b/>
      <sz val="11"/>
      <name val="Calibri"/>
      <family val="2"/>
      <scheme val="minor"/>
    </font>
    <font>
      <b/>
      <vertAlign val="subscript"/>
      <sz val="11"/>
      <color theme="1"/>
      <name val="Arial"/>
      <family val="2"/>
    </font>
    <font>
      <b/>
      <sz val="10"/>
      <name val="Calibri"/>
      <family val="2"/>
      <scheme val="minor"/>
    </font>
    <font>
      <u/>
      <sz val="10"/>
      <color theme="1"/>
      <name val="Arial"/>
      <family val="2"/>
    </font>
    <font>
      <sz val="10"/>
      <name val="Calibri"/>
      <family val="2"/>
      <scheme val="minor"/>
    </font>
    <font>
      <vertAlign val="subscript"/>
      <sz val="11"/>
      <color theme="1"/>
      <name val="Arial"/>
      <family val="2"/>
    </font>
    <font>
      <b/>
      <sz val="9"/>
      <color theme="1"/>
      <name val="Arial"/>
      <family val="2"/>
    </font>
    <font>
      <b/>
      <sz val="14"/>
      <color theme="1"/>
      <name val="Arial"/>
      <family val="2"/>
    </font>
    <font>
      <b/>
      <sz val="16"/>
      <name val="Arial"/>
      <family val="2"/>
    </font>
    <font>
      <sz val="11"/>
      <color theme="1"/>
      <name val="Calibri"/>
      <family val="2"/>
      <scheme val="minor"/>
    </font>
    <font>
      <b/>
      <sz val="11"/>
      <color rgb="FF000000"/>
      <name val="Calibri"/>
      <family val="2"/>
      <scheme val="minor"/>
    </font>
    <font>
      <sz val="11"/>
      <color rgb="FF000000"/>
      <name val="Calibri"/>
      <family val="2"/>
      <scheme val="minor"/>
    </font>
    <font>
      <sz val="11"/>
      <color rgb="FFFF0000"/>
      <name val="Arial"/>
      <family val="2"/>
    </font>
    <font>
      <sz val="9"/>
      <color theme="1"/>
      <name val="Calibri"/>
      <family val="2"/>
      <scheme val="minor"/>
    </font>
    <font>
      <sz val="10.5"/>
      <color rgb="FF000000"/>
      <name val="Calibri"/>
      <family val="2"/>
      <scheme val="minor"/>
    </font>
    <font>
      <b/>
      <sz val="12"/>
      <color theme="5" tint="-0.499984740745262"/>
      <name val="Arial"/>
      <family val="2"/>
    </font>
    <font>
      <sz val="10"/>
      <color theme="5" tint="-0.249977111117893"/>
      <name val="Calibri"/>
      <family val="2"/>
      <scheme val="minor"/>
    </font>
    <font>
      <b/>
      <sz val="11"/>
      <color theme="1"/>
      <name val="Calibri"/>
      <family val="2"/>
    </font>
    <font>
      <b/>
      <sz val="11"/>
      <color theme="1"/>
      <name val="Calibri"/>
      <family val="2"/>
      <scheme val="minor"/>
    </font>
    <font>
      <b/>
      <sz val="11"/>
      <color rgb="FFFF0000"/>
      <name val="Arial"/>
      <family val="2"/>
    </font>
    <font>
      <b/>
      <sz val="20"/>
      <color theme="5" tint="-0.249977111117893"/>
      <name val="Arial"/>
      <family val="2"/>
    </font>
    <font>
      <b/>
      <sz val="12"/>
      <color theme="5" tint="-0.249977111117893"/>
      <name val="Arial"/>
      <family val="2"/>
    </font>
    <font>
      <b/>
      <sz val="9"/>
      <color rgb="FFFF0000"/>
      <name val="Arial"/>
      <family val="2"/>
    </font>
    <font>
      <b/>
      <sz val="11"/>
      <color rgb="FFC00000"/>
      <name val="Arial"/>
      <family val="2"/>
    </font>
    <font>
      <b/>
      <sz val="9"/>
      <name val="Arial"/>
      <family val="2"/>
    </font>
    <font>
      <sz val="10"/>
      <color theme="9" tint="-0.249977111117893"/>
      <name val="Arial"/>
      <family val="2"/>
    </font>
    <font>
      <sz val="10"/>
      <color theme="7" tint="-0.249977111117893"/>
      <name val="Arial"/>
      <family val="2"/>
    </font>
    <font>
      <sz val="11"/>
      <color rgb="FFC00000"/>
      <name val="Arial"/>
      <family val="2"/>
    </font>
    <font>
      <sz val="11"/>
      <color theme="4"/>
      <name val="Arial"/>
      <family val="2"/>
    </font>
    <font>
      <b/>
      <sz val="9"/>
      <color rgb="FFC00000"/>
      <name val="Arial"/>
      <family val="2"/>
    </font>
    <font>
      <b/>
      <sz val="26"/>
      <color theme="1"/>
      <name val="Arial"/>
      <family val="2"/>
    </font>
    <font>
      <sz val="10"/>
      <color rgb="FFFF0000"/>
      <name val="Arial"/>
      <family val="2"/>
    </font>
    <font>
      <b/>
      <strike/>
      <sz val="9"/>
      <color indexed="81"/>
      <name val="Tahoma"/>
      <family val="2"/>
    </font>
  </fonts>
  <fills count="2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rgb="FFFFFF99"/>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lightDown"/>
    </fill>
    <fill>
      <patternFill patternType="solid">
        <fgColor rgb="FF92D050"/>
        <bgColor indexed="64"/>
      </patternFill>
    </fill>
    <fill>
      <patternFill patternType="solid">
        <fgColor theme="0" tint="-0.14999847407452621"/>
        <bgColor indexed="64"/>
      </patternFill>
    </fill>
    <fill>
      <patternFill patternType="solid">
        <fgColor theme="9" tint="0.79998168889431442"/>
        <bgColor indexed="64"/>
      </patternFill>
    </fill>
    <fill>
      <patternFill patternType="lightUp"/>
    </fill>
    <fill>
      <patternFill patternType="solid">
        <fgColor theme="6" tint="0.59999389629810485"/>
        <bgColor indexed="64"/>
      </patternFill>
    </fill>
    <fill>
      <patternFill patternType="lightUp">
        <bgColor rgb="FF00B0F0"/>
      </patternFill>
    </fill>
    <fill>
      <patternFill patternType="solid">
        <fgColor theme="6" tint="0.79995117038483843"/>
        <bgColor indexed="64"/>
      </patternFill>
    </fill>
  </fills>
  <borders count="189">
    <border>
      <left/>
      <right/>
      <top/>
      <bottom/>
      <diagonal/>
    </border>
    <border>
      <left/>
      <right/>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ck">
        <color theme="8" tint="0.59996337778862885"/>
      </left>
      <right/>
      <top style="thick">
        <color theme="8" tint="0.59996337778862885"/>
      </top>
      <bottom/>
      <diagonal/>
    </border>
    <border>
      <left/>
      <right/>
      <top style="thick">
        <color theme="8" tint="0.59996337778862885"/>
      </top>
      <bottom/>
      <diagonal/>
    </border>
    <border>
      <left style="thick">
        <color theme="8" tint="0.59996337778862885"/>
      </left>
      <right/>
      <top/>
      <bottom/>
      <diagonal/>
    </border>
    <border>
      <left style="thick">
        <color theme="8" tint="0.59996337778862885"/>
      </left>
      <right/>
      <top/>
      <bottom style="thick">
        <color theme="8" tint="0.59996337778862885"/>
      </bottom>
      <diagonal/>
    </border>
    <border>
      <left/>
      <right/>
      <top/>
      <bottom style="thick">
        <color theme="8" tint="0.59996337778862885"/>
      </bottom>
      <diagonal/>
    </border>
    <border>
      <left style="thick">
        <color theme="6" tint="0.59996337778862885"/>
      </left>
      <right/>
      <top style="thick">
        <color theme="6" tint="0.59996337778862885"/>
      </top>
      <bottom/>
      <diagonal/>
    </border>
    <border>
      <left/>
      <right/>
      <top style="thick">
        <color theme="6" tint="0.59996337778862885"/>
      </top>
      <bottom/>
      <diagonal/>
    </border>
    <border>
      <left/>
      <right style="thick">
        <color theme="6" tint="0.59996337778862885"/>
      </right>
      <top style="thick">
        <color theme="6" tint="0.59996337778862885"/>
      </top>
      <bottom/>
      <diagonal/>
    </border>
    <border>
      <left/>
      <right style="thick">
        <color theme="6" tint="0.59996337778862885"/>
      </right>
      <top/>
      <bottom/>
      <diagonal/>
    </border>
    <border>
      <left style="thick">
        <color theme="6" tint="0.59996337778862885"/>
      </left>
      <right/>
      <top/>
      <bottom style="thick">
        <color theme="6" tint="0.59996337778862885"/>
      </bottom>
      <diagonal/>
    </border>
    <border>
      <left/>
      <right/>
      <top/>
      <bottom style="thick">
        <color theme="6" tint="0.59996337778862885"/>
      </bottom>
      <diagonal/>
    </border>
    <border>
      <left/>
      <right style="thick">
        <color theme="6" tint="0.59996337778862885"/>
      </right>
      <top/>
      <bottom style="thick">
        <color theme="6" tint="0.59996337778862885"/>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right style="dotted">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double">
        <color indexed="64"/>
      </top>
      <bottom style="dotted">
        <color indexed="64"/>
      </bottom>
      <diagonal/>
    </border>
    <border>
      <left style="thick">
        <color theme="6" tint="0.59996337778862885"/>
      </left>
      <right style="dotted">
        <color theme="0" tint="-0.34998626667073579"/>
      </right>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top/>
      <bottom style="dotted">
        <color theme="0" tint="-0.34998626667073579"/>
      </bottom>
      <diagonal/>
    </border>
    <border>
      <left style="thick">
        <color theme="6" tint="0.59996337778862885"/>
      </left>
      <right style="dotted">
        <color theme="0" tint="-0.34998626667073579"/>
      </right>
      <top style="dotted">
        <color theme="0" tint="-0.34998626667073579"/>
      </top>
      <bottom style="dotted">
        <color theme="0" tint="-0.34998626667073579"/>
      </bottom>
      <diagonal/>
    </border>
    <border>
      <left style="thick">
        <color theme="6" tint="0.59996337778862885"/>
      </left>
      <right style="dotted">
        <color theme="0" tint="-0.34998626667073579"/>
      </right>
      <top style="dotted">
        <color theme="0" tint="-0.34998626667073579"/>
      </top>
      <bottom/>
      <diagonal/>
    </border>
    <border>
      <left style="dotted">
        <color theme="0" tint="-0.34998626667073579"/>
      </left>
      <right style="dotted">
        <color theme="0" tint="-0.34998626667073579"/>
      </right>
      <top style="dotted">
        <color theme="0" tint="-0.34998626667073579"/>
      </top>
      <bottom/>
      <diagonal/>
    </border>
    <border>
      <left style="thick">
        <color theme="6" tint="0.59996337778862885"/>
      </left>
      <right style="dotted">
        <color theme="6" tint="0.59996337778862885"/>
      </right>
      <top/>
      <bottom style="dotted">
        <color theme="6" tint="0.59996337778862885"/>
      </bottom>
      <diagonal/>
    </border>
    <border>
      <left style="dotted">
        <color theme="6" tint="0.59996337778862885"/>
      </left>
      <right style="dotted">
        <color theme="6" tint="0.59996337778862885"/>
      </right>
      <top/>
      <bottom style="dotted">
        <color theme="6" tint="0.59996337778862885"/>
      </bottom>
      <diagonal/>
    </border>
    <border>
      <left style="dotted">
        <color theme="6" tint="0.59996337778862885"/>
      </left>
      <right/>
      <top/>
      <bottom style="dotted">
        <color theme="6" tint="0.59996337778862885"/>
      </bottom>
      <diagonal/>
    </border>
    <border>
      <left style="thick">
        <color theme="6" tint="0.59996337778862885"/>
      </left>
      <right style="dotted">
        <color theme="6" tint="0.59996337778862885"/>
      </right>
      <top style="dotted">
        <color theme="6" tint="0.59996337778862885"/>
      </top>
      <bottom style="dotted">
        <color theme="6" tint="0.59996337778862885"/>
      </bottom>
      <diagonal/>
    </border>
    <border>
      <left style="dotted">
        <color theme="6" tint="0.59996337778862885"/>
      </left>
      <right style="dotted">
        <color theme="6" tint="0.59996337778862885"/>
      </right>
      <top style="dotted">
        <color theme="6" tint="0.59996337778862885"/>
      </top>
      <bottom style="dotted">
        <color theme="6" tint="0.59996337778862885"/>
      </bottom>
      <diagonal/>
    </border>
    <border>
      <left style="dotted">
        <color theme="6" tint="0.59996337778862885"/>
      </left>
      <right/>
      <top style="dotted">
        <color theme="6" tint="0.59996337778862885"/>
      </top>
      <bottom style="dotted">
        <color theme="6" tint="0.59996337778862885"/>
      </bottom>
      <diagonal/>
    </border>
    <border>
      <left style="thick">
        <color theme="6" tint="0.59996337778862885"/>
      </left>
      <right style="dotted">
        <color theme="6" tint="0.59996337778862885"/>
      </right>
      <top style="dotted">
        <color theme="6" tint="0.59996337778862885"/>
      </top>
      <bottom/>
      <diagonal/>
    </border>
    <border>
      <left style="dotted">
        <color theme="6" tint="0.59996337778862885"/>
      </left>
      <right style="dotted">
        <color theme="6" tint="0.59996337778862885"/>
      </right>
      <top style="dotted">
        <color theme="6" tint="0.59996337778862885"/>
      </top>
      <bottom/>
      <diagonal/>
    </border>
    <border>
      <left style="dotted">
        <color theme="6" tint="0.59996337778862885"/>
      </left>
      <right/>
      <top style="dotted">
        <color theme="6" tint="0.59996337778862885"/>
      </top>
      <bottom/>
      <diagonal/>
    </border>
    <border>
      <left style="dashed">
        <color theme="0" tint="-0.34998626667073579"/>
      </left>
      <right/>
      <top style="dashed">
        <color theme="0" tint="-0.34998626667073579"/>
      </top>
      <bottom/>
      <diagonal/>
    </border>
    <border>
      <left/>
      <right/>
      <top style="dashed">
        <color theme="0" tint="-0.34998626667073579"/>
      </top>
      <bottom/>
      <diagonal/>
    </border>
    <border>
      <left/>
      <right style="dashed">
        <color theme="0" tint="-0.34998626667073579"/>
      </right>
      <top style="dashed">
        <color theme="0" tint="-0.34998626667073579"/>
      </top>
      <bottom/>
      <diagonal/>
    </border>
    <border>
      <left style="dashed">
        <color theme="0" tint="-0.34998626667073579"/>
      </left>
      <right/>
      <top/>
      <bottom style="dashed">
        <color theme="0" tint="-0.34998626667073579"/>
      </bottom>
      <diagonal/>
    </border>
    <border>
      <left/>
      <right/>
      <top/>
      <bottom style="dashed">
        <color theme="0" tint="-0.34998626667073579"/>
      </bottom>
      <diagonal/>
    </border>
    <border>
      <left/>
      <right style="dashed">
        <color theme="0" tint="-0.34998626667073579"/>
      </right>
      <top/>
      <bottom style="dashed">
        <color theme="0" tint="-0.34998626667073579"/>
      </bottom>
      <diagonal/>
    </border>
    <border>
      <left/>
      <right style="dashed">
        <color theme="0" tint="-0.499984740745262"/>
      </right>
      <top/>
      <bottom/>
      <diagonal/>
    </border>
    <border>
      <left/>
      <right style="dashed">
        <color theme="0" tint="-0.499984740745262"/>
      </right>
      <top/>
      <bottom style="hair">
        <color theme="1"/>
      </bottom>
      <diagonal/>
    </border>
    <border>
      <left/>
      <right style="dashed">
        <color theme="0" tint="-0.499984740745262"/>
      </right>
      <top style="hair">
        <color theme="1"/>
      </top>
      <bottom style="hair">
        <color theme="1"/>
      </bottom>
      <diagonal/>
    </border>
    <border>
      <left/>
      <right style="dashed">
        <color theme="0" tint="-0.499984740745262"/>
      </right>
      <top style="hair">
        <color theme="1"/>
      </top>
      <bottom/>
      <diagonal/>
    </border>
    <border>
      <left/>
      <right style="dashed">
        <color theme="0" tint="-0.499984740745262"/>
      </right>
      <top style="dashed">
        <color theme="0" tint="-0.34998626667073579"/>
      </top>
      <bottom style="hair">
        <color theme="1"/>
      </bottom>
      <diagonal/>
    </border>
    <border>
      <left/>
      <right style="dashed">
        <color theme="0" tint="-0.499984740745262"/>
      </right>
      <top style="hair">
        <color theme="1"/>
      </top>
      <bottom style="dashed">
        <color theme="0" tint="-0.34998626667073579"/>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bottom style="hair">
        <color theme="1"/>
      </bottom>
      <diagonal/>
    </border>
    <border>
      <left style="dashed">
        <color theme="0" tint="-0.499984740745262"/>
      </left>
      <right style="dashed">
        <color theme="0" tint="-0.499984740745262"/>
      </right>
      <top style="hair">
        <color theme="1"/>
      </top>
      <bottom style="hair">
        <color theme="1"/>
      </bottom>
      <diagonal/>
    </border>
    <border>
      <left style="dashed">
        <color theme="0" tint="-0.499984740745262"/>
      </left>
      <right style="dashed">
        <color theme="0" tint="-0.499984740745262"/>
      </right>
      <top style="hair">
        <color theme="1"/>
      </top>
      <bottom/>
      <diagonal/>
    </border>
    <border>
      <left style="dashed">
        <color theme="0" tint="-0.499984740745262"/>
      </left>
      <right style="dashed">
        <color theme="0" tint="-0.499984740745262"/>
      </right>
      <top style="dashed">
        <color theme="0" tint="-0.34998626667073579"/>
      </top>
      <bottom style="hair">
        <color auto="1"/>
      </bottom>
      <diagonal/>
    </border>
    <border>
      <left style="dashed">
        <color theme="0" tint="-0.499984740745262"/>
      </left>
      <right style="dashed">
        <color theme="0" tint="-0.499984740745262"/>
      </right>
      <top style="hair">
        <color auto="1"/>
      </top>
      <bottom style="dashed">
        <color theme="0" tint="-0.34998626667073579"/>
      </bottom>
      <diagonal/>
    </border>
    <border>
      <left style="dashed">
        <color theme="0" tint="-0.499984740745262"/>
      </left>
      <right style="dashed">
        <color theme="0" tint="-0.499984740745262"/>
      </right>
      <top style="dashed">
        <color theme="0" tint="-0.34998626667073579"/>
      </top>
      <bottom style="hair">
        <color theme="1"/>
      </bottom>
      <diagonal/>
    </border>
    <border>
      <left style="dashed">
        <color theme="0" tint="-0.499984740745262"/>
      </left>
      <right style="dashed">
        <color theme="0" tint="-0.499984740745262"/>
      </right>
      <top style="hair">
        <color theme="1"/>
      </top>
      <bottom style="dashed">
        <color theme="0" tint="-0.34998626667073579"/>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double">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style="dotted">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double">
        <color indexed="64"/>
      </top>
      <bottom/>
      <diagonal/>
    </border>
    <border>
      <left/>
      <right style="dotted">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ashed">
        <color theme="0" tint="-0.499984740745262"/>
      </right>
      <top/>
      <bottom style="thin">
        <color indexed="64"/>
      </bottom>
      <diagonal/>
    </border>
    <border>
      <left style="dashed">
        <color theme="0" tint="-0.499984740745262"/>
      </left>
      <right style="dashed">
        <color theme="0" tint="-0.499984740745262"/>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style="double">
        <color indexed="64"/>
      </bottom>
      <diagonal/>
    </border>
    <border>
      <left/>
      <right style="thin">
        <color indexed="64"/>
      </right>
      <top/>
      <bottom style="double">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dotted">
        <color indexed="64"/>
      </top>
      <bottom style="medium">
        <color indexed="64"/>
      </bottom>
      <diagonal/>
    </border>
    <border>
      <left style="thin">
        <color indexed="64"/>
      </left>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style="medium">
        <color indexed="64"/>
      </top>
      <bottom style="thin">
        <color indexed="64"/>
      </bottom>
      <diagonal/>
    </border>
    <border>
      <left/>
      <right style="dotted">
        <color indexed="64"/>
      </right>
      <top style="dotted">
        <color indexed="64"/>
      </top>
      <bottom style="double">
        <color indexed="64"/>
      </bottom>
      <diagonal/>
    </border>
    <border>
      <left style="thin">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dotted">
        <color theme="0" tint="-0.34998626667073579"/>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ck">
        <color theme="6" tint="0.59996337778862885"/>
      </left>
      <right/>
      <top/>
      <bottom/>
      <diagonal/>
    </border>
    <border>
      <left style="dotted">
        <color indexed="64"/>
      </left>
      <right style="dotted">
        <color indexed="64"/>
      </right>
      <top/>
      <bottom style="thick">
        <color theme="6" tint="0.59996337778862885"/>
      </bottom>
      <diagonal/>
    </border>
    <border>
      <left style="dotted">
        <color indexed="64"/>
      </left>
      <right style="dotted">
        <color indexed="64"/>
      </right>
      <top style="thick">
        <color theme="6" tint="0.59996337778862885"/>
      </top>
      <bottom/>
      <diagonal/>
    </border>
    <border>
      <left style="hair">
        <color auto="1"/>
      </left>
      <right style="dotted">
        <color theme="0" tint="-0.499984740745262"/>
      </right>
      <top style="dashed">
        <color theme="0" tint="-0.34998626667073579"/>
      </top>
      <bottom style="hair">
        <color auto="1"/>
      </bottom>
      <diagonal/>
    </border>
    <border>
      <left/>
      <right style="hair">
        <color auto="1"/>
      </right>
      <top style="dashed">
        <color theme="0" tint="-0.34998626667073579"/>
      </top>
      <bottom style="hair">
        <color auto="1"/>
      </bottom>
      <diagonal/>
    </border>
    <border>
      <left style="hair">
        <color auto="1"/>
      </left>
      <right style="hair">
        <color auto="1"/>
      </right>
      <top style="dashed">
        <color theme="0" tint="-0.34998626667073579"/>
      </top>
      <bottom style="hair">
        <color auto="1"/>
      </bottom>
      <diagonal/>
    </border>
    <border>
      <left/>
      <right style="hair">
        <color auto="1"/>
      </right>
      <top style="hair">
        <color auto="1"/>
      </top>
      <bottom style="dashed">
        <color theme="0" tint="-0.34998626667073579"/>
      </bottom>
      <diagonal/>
    </border>
    <border>
      <left style="hair">
        <color auto="1"/>
      </left>
      <right style="hair">
        <color auto="1"/>
      </right>
      <top style="hair">
        <color auto="1"/>
      </top>
      <bottom style="dashed">
        <color theme="0" tint="-0.34998626667073579"/>
      </bottom>
      <diagonal/>
    </border>
    <border>
      <left style="hair">
        <color auto="1"/>
      </left>
      <right style="dotted">
        <color theme="0" tint="-0.499984740745262"/>
      </right>
      <top style="hair">
        <color auto="1"/>
      </top>
      <bottom style="dashed">
        <color theme="0" tint="-0.34998626667073579"/>
      </bottom>
      <diagonal/>
    </border>
    <border>
      <left style="medium">
        <color indexed="64"/>
      </left>
      <right/>
      <top style="dotted">
        <color indexed="64"/>
      </top>
      <bottom style="dotted">
        <color indexed="64"/>
      </bottom>
      <diagonal/>
    </border>
    <border>
      <left style="dashed">
        <color theme="0" tint="-0.499984740745262"/>
      </left>
      <right style="dashed">
        <color theme="0" tint="-0.499984740745262"/>
      </right>
      <top style="medium">
        <color indexed="64"/>
      </top>
      <bottom style="medium">
        <color indexed="64"/>
      </bottom>
      <diagonal/>
    </border>
    <border>
      <left style="dotted">
        <color auto="1"/>
      </left>
      <right/>
      <top style="dotted">
        <color auto="1"/>
      </top>
      <bottom style="dotted">
        <color auto="1"/>
      </bottom>
      <diagonal/>
    </border>
    <border>
      <left/>
      <right style="thick">
        <color theme="6" tint="0.59996337778862885"/>
      </right>
      <top style="thick">
        <color theme="8" tint="0.59996337778862885"/>
      </top>
      <bottom/>
      <diagonal/>
    </border>
    <border>
      <left/>
      <right style="thick">
        <color theme="6" tint="0.59996337778862885"/>
      </right>
      <top/>
      <bottom style="thick">
        <color theme="8" tint="0.59996337778862885"/>
      </bottom>
      <diagonal/>
    </border>
    <border>
      <left/>
      <right style="medium">
        <color indexed="64"/>
      </right>
      <top style="dotted">
        <color indexed="64"/>
      </top>
      <bottom style="dotted">
        <color indexed="64"/>
      </bottom>
      <diagonal/>
    </border>
    <border>
      <left style="medium">
        <color indexed="64"/>
      </left>
      <right style="medium">
        <color indexed="64"/>
      </right>
      <top/>
      <bottom/>
      <diagonal/>
    </border>
  </borders>
  <cellStyleXfs count="5">
    <xf numFmtId="0" fontId="0" fillId="0" borderId="0"/>
    <xf numFmtId="0" fontId="9" fillId="0" borderId="0"/>
    <xf numFmtId="0" fontId="9" fillId="0" borderId="0"/>
    <xf numFmtId="168" fontId="9" fillId="0" borderId="0" applyFont="0" applyFill="0" applyBorder="0" applyAlignment="0" applyProtection="0"/>
    <xf numFmtId="9" fontId="36" fillId="0" borderId="0" applyFont="0" applyFill="0" applyBorder="0" applyAlignment="0" applyProtection="0"/>
  </cellStyleXfs>
  <cellXfs count="924">
    <xf numFmtId="0" fontId="0" fillId="0" borderId="0" xfId="0"/>
    <xf numFmtId="0" fontId="1" fillId="0" borderId="0" xfId="0" applyFont="1"/>
    <xf numFmtId="0" fontId="1" fillId="2" borderId="0" xfId="0" applyFont="1" applyFill="1"/>
    <xf numFmtId="0" fontId="2" fillId="0" borderId="0" xfId="0" applyFont="1"/>
    <xf numFmtId="0" fontId="1" fillId="0" borderId="0" xfId="0" applyFont="1" applyProtection="1">
      <protection locked="0"/>
    </xf>
    <xf numFmtId="0" fontId="4" fillId="2" borderId="0" xfId="0" applyFont="1" applyFill="1"/>
    <xf numFmtId="0" fontId="4" fillId="0" borderId="0" xfId="0" applyFont="1"/>
    <xf numFmtId="0" fontId="1" fillId="0" borderId="0" xfId="0" applyFont="1" applyAlignment="1">
      <alignment horizontal="center"/>
    </xf>
    <xf numFmtId="0" fontId="5" fillId="6" borderId="0" xfId="0" applyFont="1" applyFill="1" applyAlignment="1">
      <alignment vertical="center"/>
    </xf>
    <xf numFmtId="0" fontId="6" fillId="6" borderId="0" xfId="0" applyFont="1" applyFill="1"/>
    <xf numFmtId="0" fontId="1" fillId="6" borderId="0" xfId="0" applyFont="1" applyFill="1"/>
    <xf numFmtId="0" fontId="7" fillId="2" borderId="0" xfId="0" applyFont="1" applyFill="1" applyAlignment="1">
      <alignment horizontal="center" vertical="center"/>
    </xf>
    <xf numFmtId="0" fontId="1" fillId="7" borderId="0" xfId="0" applyFont="1" applyFill="1"/>
    <xf numFmtId="49" fontId="6" fillId="0" borderId="0" xfId="0" applyNumberFormat="1" applyFont="1"/>
    <xf numFmtId="0" fontId="1" fillId="2" borderId="0" xfId="0" applyFont="1" applyFill="1" applyAlignment="1">
      <alignment vertical="center"/>
    </xf>
    <xf numFmtId="0" fontId="1" fillId="7" borderId="0" xfId="0" applyFont="1" applyFill="1" applyAlignment="1">
      <alignment vertical="center"/>
    </xf>
    <xf numFmtId="0" fontId="1" fillId="6" borderId="0" xfId="0" applyFont="1" applyFill="1" applyAlignment="1">
      <alignment vertical="center"/>
    </xf>
    <xf numFmtId="0" fontId="1" fillId="2" borderId="0" xfId="0" applyFont="1" applyFill="1" applyAlignment="1">
      <alignment horizontal="center" vertical="center"/>
    </xf>
    <xf numFmtId="49" fontId="1" fillId="6" borderId="0" xfId="0" applyNumberFormat="1" applyFont="1" applyFill="1" applyAlignment="1">
      <alignment vertical="center"/>
    </xf>
    <xf numFmtId="1" fontId="1" fillId="6" borderId="0" xfId="0" applyNumberFormat="1" applyFont="1" applyFill="1" applyAlignment="1">
      <alignment horizontal="left" vertical="center"/>
    </xf>
    <xf numFmtId="1" fontId="1" fillId="2" borderId="0" xfId="0" applyNumberFormat="1" applyFont="1" applyFill="1" applyAlignment="1">
      <alignment horizontal="center" vertical="center"/>
    </xf>
    <xf numFmtId="0" fontId="10" fillId="0" borderId="0" xfId="0" applyFont="1" applyProtection="1">
      <protection locked="0"/>
    </xf>
    <xf numFmtId="49" fontId="1" fillId="0" borderId="0" xfId="0" applyNumberFormat="1" applyFont="1"/>
    <xf numFmtId="49" fontId="1" fillId="0" borderId="0" xfId="0" applyNumberFormat="1" applyFont="1" applyAlignment="1">
      <alignment horizontal="left"/>
    </xf>
    <xf numFmtId="164" fontId="11" fillId="9" borderId="0" xfId="0" applyNumberFormat="1" applyFont="1" applyFill="1"/>
    <xf numFmtId="0" fontId="1" fillId="7" borderId="0" xfId="0" applyFont="1" applyFill="1" applyAlignment="1">
      <alignment horizontal="left" vertical="center"/>
    </xf>
    <xf numFmtId="0" fontId="1" fillId="0" borderId="0" xfId="0" applyFont="1" applyAlignment="1">
      <alignment vertical="center"/>
    </xf>
    <xf numFmtId="0" fontId="7" fillId="7" borderId="0" xfId="0" applyFont="1" applyFill="1" applyAlignment="1">
      <alignment horizontal="right" vertical="center"/>
    </xf>
    <xf numFmtId="0" fontId="9" fillId="0" borderId="0" xfId="0" applyFont="1" applyAlignment="1" applyProtection="1">
      <alignment horizontal="left" vertical="center"/>
      <protection locked="0"/>
    </xf>
    <xf numFmtId="1" fontId="1" fillId="0" borderId="0" xfId="0" applyNumberFormat="1" applyFont="1" applyAlignment="1" applyProtection="1">
      <alignment horizontal="left" vertical="center"/>
      <protection locked="0"/>
    </xf>
    <xf numFmtId="0" fontId="1" fillId="10" borderId="0" xfId="0" applyFont="1" applyFill="1" applyAlignment="1">
      <alignment vertical="center"/>
    </xf>
    <xf numFmtId="0" fontId="1" fillId="0" borderId="0" xfId="0" applyFont="1" applyAlignment="1" applyProtection="1">
      <alignment vertical="center"/>
      <protection locked="0"/>
    </xf>
    <xf numFmtId="164" fontId="1" fillId="0" borderId="0" xfId="0" applyNumberFormat="1" applyFont="1" applyAlignment="1">
      <alignment vertical="center"/>
    </xf>
    <xf numFmtId="1" fontId="1" fillId="0" borderId="0" xfId="0" applyNumberFormat="1" applyFont="1"/>
    <xf numFmtId="0" fontId="9" fillId="0" borderId="0" xfId="2"/>
    <xf numFmtId="0" fontId="0" fillId="4" borderId="0" xfId="0" applyFill="1"/>
    <xf numFmtId="1" fontId="0" fillId="4" borderId="0" xfId="0" applyNumberFormat="1" applyFill="1"/>
    <xf numFmtId="1" fontId="0" fillId="0" borderId="0" xfId="0" applyNumberFormat="1"/>
    <xf numFmtId="49" fontId="0" fillId="4" borderId="0" xfId="0" applyNumberFormat="1" applyFill="1"/>
    <xf numFmtId="9" fontId="0" fillId="0" borderId="0" xfId="0" applyNumberFormat="1"/>
    <xf numFmtId="0" fontId="0" fillId="12" borderId="0" xfId="0" applyFill="1"/>
    <xf numFmtId="1" fontId="0" fillId="12" borderId="0" xfId="0" applyNumberFormat="1" applyFill="1"/>
    <xf numFmtId="1" fontId="0" fillId="5" borderId="0" xfId="0" applyNumberFormat="1" applyFill="1"/>
    <xf numFmtId="0" fontId="10" fillId="14" borderId="0" xfId="0" applyFont="1" applyFill="1" applyProtection="1">
      <protection locked="0"/>
    </xf>
    <xf numFmtId="0" fontId="10" fillId="14" borderId="0" xfId="0" applyFont="1" applyFill="1" applyAlignment="1" applyProtection="1">
      <alignment horizontal="center"/>
      <protection locked="0"/>
    </xf>
    <xf numFmtId="0" fontId="10" fillId="0" borderId="0" xfId="0" applyFont="1" applyAlignment="1" applyProtection="1">
      <alignment horizontal="center"/>
      <protection locked="0"/>
    </xf>
    <xf numFmtId="0" fontId="9" fillId="0" borderId="0" xfId="0" applyFont="1"/>
    <xf numFmtId="0" fontId="10" fillId="0" borderId="0" xfId="0" applyFont="1"/>
    <xf numFmtId="0" fontId="14" fillId="0" borderId="0" xfId="1" applyFont="1"/>
    <xf numFmtId="0" fontId="9" fillId="0" borderId="0" xfId="1"/>
    <xf numFmtId="0" fontId="9" fillId="11" borderId="0" xfId="1" applyFill="1"/>
    <xf numFmtId="0" fontId="14" fillId="13" borderId="0" xfId="1" applyFont="1" applyFill="1"/>
    <xf numFmtId="0" fontId="0" fillId="0" borderId="0" xfId="0" applyAlignment="1">
      <alignment horizontal="center"/>
    </xf>
    <xf numFmtId="0" fontId="1" fillId="10" borderId="0" xfId="0" applyFont="1" applyFill="1"/>
    <xf numFmtId="1" fontId="7" fillId="6" borderId="0" xfId="0" applyNumberFormat="1" applyFont="1" applyFill="1" applyAlignment="1">
      <alignment horizontal="center"/>
    </xf>
    <xf numFmtId="0" fontId="7" fillId="6" borderId="0" xfId="0" applyFont="1" applyFill="1" applyAlignment="1">
      <alignment horizontal="right"/>
    </xf>
    <xf numFmtId="49" fontId="1" fillId="2" borderId="0" xfId="0" applyNumberFormat="1" applyFont="1" applyFill="1" applyAlignment="1">
      <alignment vertical="center"/>
    </xf>
    <xf numFmtId="1" fontId="1" fillId="2" borderId="0" xfId="0" applyNumberFormat="1" applyFont="1" applyFill="1" applyAlignment="1">
      <alignment horizontal="left" vertical="center"/>
    </xf>
    <xf numFmtId="1" fontId="7" fillId="2" borderId="0" xfId="0" applyNumberFormat="1" applyFont="1" applyFill="1" applyAlignment="1">
      <alignment horizontal="center"/>
    </xf>
    <xf numFmtId="0" fontId="26"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6" borderId="0" xfId="0" applyFont="1" applyFill="1" applyAlignment="1">
      <alignment horizontal="left" vertical="center"/>
    </xf>
    <xf numFmtId="0" fontId="7" fillId="7" borderId="0" xfId="0" applyFont="1" applyFill="1" applyAlignment="1">
      <alignment horizontal="left" vertical="center"/>
    </xf>
    <xf numFmtId="0" fontId="4" fillId="6" borderId="0" xfId="0" applyFont="1" applyFill="1" applyAlignment="1">
      <alignment horizontal="center" vertical="center"/>
    </xf>
    <xf numFmtId="0" fontId="15" fillId="10" borderId="0" xfId="0" applyFont="1" applyFill="1" applyAlignment="1">
      <alignment vertical="center"/>
    </xf>
    <xf numFmtId="0" fontId="4" fillId="10" borderId="0" xfId="0" applyFont="1" applyFill="1" applyAlignment="1">
      <alignment horizontal="left" vertical="center"/>
    </xf>
    <xf numFmtId="0" fontId="1" fillId="0" borderId="0" xfId="0" applyFont="1" applyFill="1"/>
    <xf numFmtId="0" fontId="7" fillId="0" borderId="0" xfId="0" applyFont="1" applyFill="1" applyAlignment="1">
      <alignment horizontal="center" vertical="center"/>
    </xf>
    <xf numFmtId="1" fontId="1" fillId="0" borderId="0" xfId="0" applyNumberFormat="1" applyFont="1" applyFill="1" applyAlignment="1">
      <alignment horizontal="center" vertical="center"/>
    </xf>
    <xf numFmtId="1" fontId="1" fillId="0" borderId="0" xfId="0" applyNumberFormat="1" applyFont="1" applyFill="1" applyBorder="1" applyAlignment="1">
      <alignment horizontal="center" vertical="center"/>
    </xf>
    <xf numFmtId="1" fontId="4" fillId="0" borderId="0" xfId="0" applyNumberFormat="1" applyFont="1" applyFill="1" applyAlignment="1" applyProtection="1">
      <alignment horizontal="center" vertical="center"/>
      <protection locked="0"/>
    </xf>
    <xf numFmtId="1" fontId="15" fillId="0" borderId="0" xfId="0" applyNumberFormat="1" applyFont="1" applyFill="1" applyAlignment="1">
      <alignment horizontal="center" vertical="center"/>
    </xf>
    <xf numFmtId="0" fontId="1" fillId="0" borderId="0" xfId="0" applyFont="1" applyFill="1" applyAlignment="1">
      <alignment vertical="center"/>
    </xf>
    <xf numFmtId="165" fontId="1" fillId="0" borderId="0" xfId="0" applyNumberFormat="1" applyFont="1" applyFill="1" applyBorder="1" applyAlignment="1" applyProtection="1">
      <alignment horizontal="center" vertical="center"/>
      <protection locked="0"/>
    </xf>
    <xf numFmtId="49" fontId="13" fillId="0" borderId="28" xfId="0" applyNumberFormat="1" applyFont="1" applyBorder="1"/>
    <xf numFmtId="0" fontId="9" fillId="0" borderId="29" xfId="0" applyFont="1" applyBorder="1" applyAlignment="1" applyProtection="1">
      <alignment horizontal="left"/>
      <protection locked="0"/>
    </xf>
    <xf numFmtId="0" fontId="29" fillId="0" borderId="29" xfId="0" applyFont="1" applyBorder="1" applyAlignment="1" applyProtection="1">
      <alignment horizontal="center"/>
      <protection locked="0"/>
    </xf>
    <xf numFmtId="0" fontId="13" fillId="0" borderId="30" xfId="0" applyFont="1" applyBorder="1" applyAlignment="1"/>
    <xf numFmtId="0" fontId="20" fillId="0" borderId="0" xfId="0" applyFont="1" applyBorder="1" applyAlignment="1" applyProtection="1">
      <alignment horizontal="left"/>
      <protection locked="0"/>
    </xf>
    <xf numFmtId="0" fontId="9" fillId="0" borderId="0" xfId="0" applyFont="1" applyBorder="1" applyAlignment="1" applyProtection="1">
      <alignment horizontal="left"/>
      <protection locked="0"/>
    </xf>
    <xf numFmtId="0" fontId="29" fillId="0" borderId="0" xfId="0" applyFont="1" applyBorder="1" applyAlignment="1" applyProtection="1">
      <alignment horizontal="center"/>
      <protection locked="0"/>
    </xf>
    <xf numFmtId="49" fontId="30" fillId="0" borderId="30" xfId="0" applyNumberFormat="1" applyFont="1" applyBorder="1"/>
    <xf numFmtId="0" fontId="9" fillId="0" borderId="0" xfId="1" applyFont="1" applyBorder="1" applyProtection="1">
      <protection locked="0"/>
    </xf>
    <xf numFmtId="49" fontId="4" fillId="0" borderId="30" xfId="0" applyNumberFormat="1" applyFont="1" applyBorder="1" applyAlignment="1">
      <alignment horizontal="left" vertical="center"/>
    </xf>
    <xf numFmtId="0" fontId="9" fillId="0" borderId="0" xfId="0" applyFont="1" applyBorder="1" applyAlignment="1" applyProtection="1">
      <alignment horizontal="left" vertical="center"/>
      <protection locked="0"/>
    </xf>
    <xf numFmtId="1" fontId="4" fillId="0" borderId="0" xfId="0" applyNumberFormat="1" applyFont="1" applyBorder="1" applyAlignment="1" applyProtection="1">
      <alignment horizontal="left" vertical="center"/>
      <protection locked="0"/>
    </xf>
    <xf numFmtId="1" fontId="4" fillId="0" borderId="0" xfId="0" applyNumberFormat="1" applyFont="1" applyBorder="1" applyAlignment="1" applyProtection="1">
      <alignment horizontal="center" vertical="center"/>
      <protection locked="0"/>
    </xf>
    <xf numFmtId="1" fontId="4" fillId="7" borderId="0" xfId="0" applyNumberFormat="1" applyFont="1" applyFill="1" applyBorder="1" applyAlignment="1" applyProtection="1">
      <alignment horizontal="center" vertical="center"/>
      <protection locked="0"/>
    </xf>
    <xf numFmtId="0" fontId="1" fillId="2" borderId="30" xfId="0" applyFont="1" applyFill="1" applyBorder="1"/>
    <xf numFmtId="0" fontId="1" fillId="2" borderId="0" xfId="0" applyFont="1" applyFill="1" applyBorder="1"/>
    <xf numFmtId="0" fontId="1" fillId="0" borderId="30" xfId="0" applyFont="1" applyFill="1" applyBorder="1"/>
    <xf numFmtId="0" fontId="1" fillId="0" borderId="0" xfId="0" applyFont="1" applyFill="1" applyBorder="1"/>
    <xf numFmtId="0" fontId="9" fillId="0" borderId="30" xfId="0" applyFont="1" applyBorder="1" applyAlignment="1" applyProtection="1">
      <alignment horizontal="left" vertical="center"/>
      <protection locked="0"/>
    </xf>
    <xf numFmtId="1" fontId="4" fillId="0" borderId="0" xfId="0" applyNumberFormat="1" applyFont="1" applyFill="1" applyBorder="1" applyAlignment="1" applyProtection="1">
      <alignment horizontal="center" vertical="center"/>
      <protection locked="0"/>
    </xf>
    <xf numFmtId="0" fontId="1" fillId="0" borderId="0" xfId="0" applyFont="1" applyBorder="1" applyAlignment="1">
      <alignment vertical="center"/>
    </xf>
    <xf numFmtId="1" fontId="1" fillId="0" borderId="0" xfId="0" applyNumberFormat="1" applyFont="1" applyBorder="1" applyAlignment="1" applyProtection="1">
      <alignment horizontal="left" vertical="center"/>
      <protection locked="0"/>
    </xf>
    <xf numFmtId="0" fontId="7" fillId="0" borderId="0" xfId="0" applyFont="1" applyFill="1" applyBorder="1" applyAlignment="1">
      <alignment horizontal="center" vertical="center"/>
    </xf>
    <xf numFmtId="1" fontId="15" fillId="0" borderId="30"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0" fontId="9" fillId="0" borderId="0" xfId="0" applyFont="1" applyBorder="1" applyAlignment="1" applyProtection="1">
      <alignment horizontal="center" vertical="center"/>
      <protection locked="0"/>
    </xf>
    <xf numFmtId="0" fontId="20" fillId="0" borderId="34" xfId="0" applyFont="1" applyBorder="1" applyAlignment="1" applyProtection="1">
      <alignment horizontal="left"/>
      <protection locked="0"/>
    </xf>
    <xf numFmtId="0" fontId="9" fillId="0" borderId="34" xfId="0" applyFont="1" applyBorder="1" applyAlignment="1" applyProtection="1">
      <alignment horizontal="left"/>
      <protection locked="0"/>
    </xf>
    <xf numFmtId="0" fontId="7" fillId="0" borderId="34" xfId="0" applyFont="1" applyFill="1" applyBorder="1" applyAlignment="1">
      <alignment horizontal="left" vertical="center"/>
    </xf>
    <xf numFmtId="0" fontId="7" fillId="0" borderId="35" xfId="0" applyFont="1" applyFill="1" applyBorder="1" applyAlignment="1">
      <alignment horizontal="left" vertical="center"/>
    </xf>
    <xf numFmtId="0" fontId="1" fillId="0" borderId="36" xfId="0" applyFont="1" applyFill="1" applyBorder="1"/>
    <xf numFmtId="0" fontId="9" fillId="0" borderId="36" xfId="0" applyFont="1" applyBorder="1" applyAlignment="1" applyProtection="1">
      <alignment horizontal="left" vertical="center"/>
      <protection locked="0"/>
    </xf>
    <xf numFmtId="1" fontId="1" fillId="0" borderId="36" xfId="0" applyNumberFormat="1" applyFont="1" applyFill="1" applyBorder="1" applyAlignment="1">
      <alignment horizontal="center" vertical="center"/>
    </xf>
    <xf numFmtId="1" fontId="1" fillId="4" borderId="36" xfId="0" applyNumberFormat="1" applyFont="1" applyFill="1" applyBorder="1" applyAlignment="1" applyProtection="1">
      <alignment horizontal="left" vertical="center"/>
      <protection locked="0"/>
    </xf>
    <xf numFmtId="1" fontId="4" fillId="0" borderId="36" xfId="0" applyNumberFormat="1" applyFont="1" applyFill="1" applyBorder="1" applyAlignment="1" applyProtection="1">
      <alignment horizontal="center" vertical="center"/>
      <protection locked="0"/>
    </xf>
    <xf numFmtId="0" fontId="7" fillId="0" borderId="36" xfId="0" applyFont="1" applyFill="1" applyBorder="1" applyAlignment="1">
      <alignment horizontal="center" vertical="center"/>
    </xf>
    <xf numFmtId="167" fontId="9" fillId="0" borderId="0" xfId="0" applyNumberFormat="1" applyFont="1" applyBorder="1" applyAlignment="1" applyProtection="1">
      <alignment horizontal="center"/>
      <protection locked="0"/>
    </xf>
    <xf numFmtId="0" fontId="9" fillId="0" borderId="36" xfId="0" applyFont="1" applyBorder="1" applyAlignment="1" applyProtection="1">
      <alignment horizontal="left"/>
      <protection locked="0"/>
    </xf>
    <xf numFmtId="0" fontId="9" fillId="4" borderId="36" xfId="0" applyFont="1" applyFill="1" applyBorder="1" applyAlignment="1" applyProtection="1">
      <alignment horizontal="left"/>
      <protection locked="0"/>
    </xf>
    <xf numFmtId="0" fontId="1" fillId="0" borderId="37" xfId="0" applyFont="1" applyBorder="1" applyAlignment="1">
      <alignment vertical="center"/>
    </xf>
    <xf numFmtId="1" fontId="1" fillId="0" borderId="38" xfId="0" applyNumberFormat="1" applyFont="1" applyBorder="1" applyProtection="1">
      <protection locked="0"/>
    </xf>
    <xf numFmtId="0" fontId="9" fillId="0" borderId="38" xfId="0" applyFont="1" applyBorder="1" applyAlignment="1" applyProtection="1">
      <alignment horizontal="left"/>
      <protection locked="0"/>
    </xf>
    <xf numFmtId="0" fontId="9" fillId="0" borderId="39" xfId="0" applyFont="1" applyBorder="1" applyAlignment="1" applyProtection="1">
      <alignment horizontal="left"/>
      <protection locked="0"/>
    </xf>
    <xf numFmtId="1" fontId="4" fillId="0" borderId="0" xfId="0" applyNumberFormat="1" applyFont="1" applyFill="1" applyBorder="1" applyAlignment="1">
      <alignment horizontal="center" vertical="center"/>
    </xf>
    <xf numFmtId="0" fontId="4" fillId="0" borderId="0" xfId="0" applyFont="1" applyBorder="1" applyAlignment="1">
      <alignment vertical="center"/>
    </xf>
    <xf numFmtId="0" fontId="1" fillId="2" borderId="0" xfId="0" applyFont="1" applyFill="1" applyBorder="1" applyAlignment="1">
      <alignment horizontal="center"/>
    </xf>
    <xf numFmtId="0" fontId="20" fillId="0" borderId="0" xfId="0" applyFont="1" applyBorder="1" applyAlignment="1" applyProtection="1">
      <alignment horizontal="left" vertical="center"/>
      <protection locked="0"/>
    </xf>
    <xf numFmtId="0" fontId="7" fillId="0" borderId="0" xfId="0" applyFont="1"/>
    <xf numFmtId="0" fontId="20" fillId="0" borderId="0" xfId="0" applyFont="1" applyBorder="1" applyAlignment="1" applyProtection="1">
      <alignment horizontal="center"/>
      <protection locked="0"/>
    </xf>
    <xf numFmtId="0" fontId="9" fillId="0" borderId="0" xfId="0" applyFont="1" applyBorder="1" applyAlignment="1" applyProtection="1">
      <alignment horizontal="center"/>
      <protection locked="0"/>
    </xf>
    <xf numFmtId="1" fontId="9" fillId="0" borderId="0" xfId="0" applyNumberFormat="1" applyFont="1" applyBorder="1" applyAlignment="1" applyProtection="1">
      <alignment horizontal="center" vertical="center"/>
      <protection locked="0"/>
    </xf>
    <xf numFmtId="0" fontId="1" fillId="0" borderId="0" xfId="0" applyFont="1" applyFill="1" applyBorder="1" applyAlignment="1">
      <alignment horizontal="center"/>
    </xf>
    <xf numFmtId="1" fontId="9" fillId="5" borderId="0" xfId="0" applyNumberFormat="1"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27" fillId="0" borderId="0" xfId="0" applyFont="1"/>
    <xf numFmtId="0" fontId="1" fillId="0" borderId="0" xfId="0" applyFont="1" applyFill="1" applyAlignment="1">
      <alignment horizontal="center"/>
    </xf>
    <xf numFmtId="0" fontId="9" fillId="0" borderId="38" xfId="0" applyFont="1" applyBorder="1" applyAlignment="1" applyProtection="1">
      <alignment horizontal="center"/>
      <protection locked="0"/>
    </xf>
    <xf numFmtId="0" fontId="1" fillId="0" borderId="0" xfId="0" applyFont="1" applyFill="1" applyAlignment="1">
      <alignment horizontal="center" vertical="center"/>
    </xf>
    <xf numFmtId="0" fontId="13" fillId="0" borderId="34" xfId="0" applyFont="1" applyFill="1" applyBorder="1" applyAlignment="1">
      <alignment horizontal="left" vertical="center"/>
    </xf>
    <xf numFmtId="1" fontId="13" fillId="0" borderId="0" xfId="0" applyNumberFormat="1" applyFont="1" applyBorder="1" applyAlignment="1" applyProtection="1">
      <alignment horizontal="left" vertical="center"/>
      <protection locked="0"/>
    </xf>
    <xf numFmtId="1" fontId="13" fillId="0" borderId="0" xfId="0" applyNumberFormat="1" applyFont="1" applyBorder="1" applyAlignment="1" applyProtection="1">
      <alignment horizontal="center" vertical="center"/>
      <protection locked="0"/>
    </xf>
    <xf numFmtId="165" fontId="1" fillId="0" borderId="0" xfId="0" applyNumberFormat="1" applyFont="1"/>
    <xf numFmtId="0" fontId="35" fillId="0" borderId="0" xfId="0" applyFont="1"/>
    <xf numFmtId="0" fontId="7" fillId="0" borderId="0" xfId="0" applyFont="1" applyFill="1"/>
    <xf numFmtId="0" fontId="5" fillId="0" borderId="0" xfId="0" applyFont="1"/>
    <xf numFmtId="167" fontId="1" fillId="0" borderId="0" xfId="0" applyNumberFormat="1" applyFont="1" applyFill="1"/>
    <xf numFmtId="0" fontId="1" fillId="0" borderId="24" xfId="0" applyFont="1" applyBorder="1"/>
    <xf numFmtId="0" fontId="1" fillId="0" borderId="24" xfId="0" applyFont="1" applyBorder="1" applyAlignment="1">
      <alignment vertical="center"/>
    </xf>
    <xf numFmtId="0" fontId="1" fillId="0" borderId="0" xfId="0" applyFont="1" applyBorder="1"/>
    <xf numFmtId="0" fontId="1" fillId="0" borderId="0" xfId="0" applyFont="1" applyAlignment="1">
      <alignment horizontal="center" vertical="center"/>
    </xf>
    <xf numFmtId="0" fontId="10" fillId="0" borderId="0" xfId="0" applyFont="1" applyAlignment="1" applyProtection="1">
      <alignment horizontal="center"/>
      <protection locked="0"/>
    </xf>
    <xf numFmtId="0" fontId="10" fillId="13" borderId="0" xfId="0" applyFont="1" applyFill="1" applyAlignment="1" applyProtection="1">
      <alignment horizontal="center"/>
      <protection locked="0"/>
    </xf>
    <xf numFmtId="0" fontId="25" fillId="7" borderId="0" xfId="0" applyFont="1" applyFill="1" applyAlignment="1">
      <alignment horizontal="right" vertical="top"/>
    </xf>
    <xf numFmtId="165" fontId="8" fillId="0" borderId="3" xfId="0" applyNumberFormat="1" applyFont="1" applyFill="1" applyBorder="1" applyAlignment="1" applyProtection="1">
      <alignment horizontal="center" vertical="center"/>
      <protection locked="0"/>
    </xf>
    <xf numFmtId="0" fontId="9" fillId="0" borderId="72" xfId="0" applyFont="1" applyBorder="1" applyAlignment="1" applyProtection="1">
      <alignment horizontal="left" vertical="center"/>
      <protection locked="0"/>
    </xf>
    <xf numFmtId="0" fontId="20" fillId="0" borderId="73" xfId="0" applyFont="1" applyBorder="1" applyAlignment="1" applyProtection="1">
      <alignment horizontal="center"/>
      <protection locked="0"/>
    </xf>
    <xf numFmtId="0" fontId="20" fillId="0" borderId="74" xfId="0" applyFont="1" applyBorder="1" applyAlignment="1" applyProtection="1">
      <alignment horizontal="center"/>
      <protection locked="0"/>
    </xf>
    <xf numFmtId="167" fontId="9" fillId="5" borderId="77" xfId="0" applyNumberFormat="1" applyFont="1" applyFill="1" applyBorder="1" applyAlignment="1" applyProtection="1">
      <alignment horizontal="center" vertical="center"/>
      <protection locked="0"/>
    </xf>
    <xf numFmtId="0" fontId="4" fillId="0" borderId="78" xfId="0" applyFont="1" applyBorder="1" applyAlignment="1">
      <alignment vertical="center"/>
    </xf>
    <xf numFmtId="167" fontId="9" fillId="5" borderId="79" xfId="0" applyNumberFormat="1" applyFont="1" applyFill="1" applyBorder="1" applyAlignment="1" applyProtection="1">
      <alignment horizontal="center"/>
      <protection locked="0"/>
    </xf>
    <xf numFmtId="167" fontId="9" fillId="5" borderId="80" xfId="0" applyNumberFormat="1" applyFont="1" applyFill="1" applyBorder="1" applyAlignment="1" applyProtection="1">
      <alignment horizontal="center"/>
      <protection locked="0"/>
    </xf>
    <xf numFmtId="0" fontId="4" fillId="0" borderId="81" xfId="0" applyFont="1" applyBorder="1" applyAlignment="1">
      <alignment vertical="center"/>
    </xf>
    <xf numFmtId="167" fontId="9" fillId="5" borderId="82" xfId="0" applyNumberFormat="1" applyFont="1" applyFill="1" applyBorder="1" applyAlignment="1" applyProtection="1">
      <alignment horizontal="center"/>
      <protection locked="0"/>
    </xf>
    <xf numFmtId="167" fontId="9" fillId="5" borderId="83" xfId="0" applyNumberFormat="1" applyFont="1" applyFill="1" applyBorder="1" applyAlignment="1" applyProtection="1">
      <alignment horizontal="center"/>
      <protection locked="0"/>
    </xf>
    <xf numFmtId="167" fontId="9" fillId="5" borderId="85" xfId="0" applyNumberFormat="1" applyFont="1" applyFill="1" applyBorder="1" applyAlignment="1" applyProtection="1">
      <alignment horizontal="center"/>
      <protection locked="0"/>
    </xf>
    <xf numFmtId="167" fontId="9" fillId="5" borderId="86" xfId="0" applyNumberFormat="1" applyFont="1" applyFill="1" applyBorder="1" applyAlignment="1" applyProtection="1">
      <alignment horizontal="center"/>
      <protection locked="0"/>
    </xf>
    <xf numFmtId="0" fontId="1" fillId="7" borderId="88" xfId="0" applyFont="1" applyFill="1" applyBorder="1" applyAlignment="1">
      <alignment vertical="center"/>
    </xf>
    <xf numFmtId="0" fontId="1" fillId="7" borderId="91" xfId="0" applyFont="1" applyFill="1" applyBorder="1" applyAlignment="1">
      <alignment vertical="center"/>
    </xf>
    <xf numFmtId="0" fontId="1" fillId="7" borderId="91" xfId="0" applyFont="1" applyFill="1" applyBorder="1"/>
    <xf numFmtId="0" fontId="15" fillId="7" borderId="88" xfId="0" applyFont="1" applyFill="1" applyBorder="1" applyAlignment="1">
      <alignment vertical="center"/>
    </xf>
    <xf numFmtId="49" fontId="7" fillId="7" borderId="93" xfId="0" applyNumberFormat="1" applyFont="1" applyFill="1" applyBorder="1" applyAlignment="1">
      <alignment horizontal="center" vertical="center"/>
    </xf>
    <xf numFmtId="49" fontId="7" fillId="7" borderId="99" xfId="0" applyNumberFormat="1" applyFont="1" applyFill="1" applyBorder="1" applyAlignment="1">
      <alignment horizontal="center" vertical="center"/>
    </xf>
    <xf numFmtId="1" fontId="9" fillId="12" borderId="0" xfId="0" applyNumberFormat="1" applyFont="1" applyFill="1" applyBorder="1" applyAlignment="1" applyProtection="1">
      <alignment horizontal="center"/>
      <protection locked="0"/>
    </xf>
    <xf numFmtId="164" fontId="1" fillId="5" borderId="107" xfId="0" applyNumberFormat="1" applyFont="1" applyFill="1" applyBorder="1" applyAlignment="1" applyProtection="1">
      <alignment horizontal="center" vertical="center"/>
      <protection locked="0"/>
    </xf>
    <xf numFmtId="166" fontId="1" fillId="5" borderId="107" xfId="0" applyNumberFormat="1" applyFont="1" applyFill="1" applyBorder="1" applyAlignment="1" applyProtection="1">
      <alignment horizontal="center" vertical="center"/>
      <protection locked="0"/>
    </xf>
    <xf numFmtId="164" fontId="1" fillId="5" borderId="5" xfId="0" applyNumberFormat="1" applyFont="1" applyFill="1" applyBorder="1" applyAlignment="1" applyProtection="1">
      <alignment horizontal="center" vertical="center"/>
      <protection locked="0"/>
    </xf>
    <xf numFmtId="166" fontId="1" fillId="5" borderId="5" xfId="0" applyNumberFormat="1" applyFont="1" applyFill="1" applyBorder="1" applyAlignment="1" applyProtection="1">
      <alignment horizontal="center" vertical="center"/>
      <protection locked="0"/>
    </xf>
    <xf numFmtId="1" fontId="1" fillId="0" borderId="22" xfId="0" applyNumberFormat="1" applyFont="1" applyBorder="1" applyAlignment="1" applyProtection="1">
      <alignment horizontal="left" vertical="center"/>
      <protection locked="0"/>
    </xf>
    <xf numFmtId="0" fontId="1" fillId="5" borderId="24" xfId="0" applyFont="1" applyFill="1" applyBorder="1" applyAlignment="1" applyProtection="1">
      <alignment horizontal="center"/>
      <protection locked="0"/>
    </xf>
    <xf numFmtId="0" fontId="10" fillId="5" borderId="108" xfId="0" applyFont="1" applyFill="1" applyBorder="1" applyAlignment="1" applyProtection="1">
      <alignment horizontal="center"/>
      <protection locked="0"/>
    </xf>
    <xf numFmtId="0" fontId="1" fillId="5" borderId="108" xfId="0" applyFont="1" applyFill="1" applyBorder="1" applyAlignment="1" applyProtection="1">
      <alignment horizontal="center"/>
      <protection locked="0"/>
    </xf>
    <xf numFmtId="0" fontId="10" fillId="5" borderId="23" xfId="0" applyFont="1" applyFill="1" applyBorder="1" applyAlignment="1" applyProtection="1">
      <protection locked="0"/>
    </xf>
    <xf numFmtId="0" fontId="10" fillId="5" borderId="0" xfId="0" applyFont="1" applyFill="1" applyBorder="1" applyAlignment="1" applyProtection="1">
      <protection locked="0"/>
    </xf>
    <xf numFmtId="0" fontId="10" fillId="0" borderId="23" xfId="0" applyFont="1" applyBorder="1" applyProtection="1">
      <protection locked="0"/>
    </xf>
    <xf numFmtId="0" fontId="10" fillId="0" borderId="0" xfId="0" applyFont="1" applyBorder="1" applyProtection="1">
      <protection locked="0"/>
    </xf>
    <xf numFmtId="1" fontId="1" fillId="0" borderId="23" xfId="0" applyNumberFormat="1" applyFont="1" applyBorder="1" applyAlignment="1" applyProtection="1">
      <alignment horizontal="left" vertical="center"/>
      <protection locked="0"/>
    </xf>
    <xf numFmtId="1" fontId="1" fillId="5" borderId="23" xfId="0" applyNumberFormat="1" applyFont="1" applyFill="1" applyBorder="1" applyAlignment="1" applyProtection="1">
      <alignment horizontal="left" vertical="center"/>
      <protection locked="0"/>
    </xf>
    <xf numFmtId="1" fontId="1" fillId="5" borderId="0" xfId="0" applyNumberFormat="1" applyFont="1" applyFill="1" applyBorder="1" applyAlignment="1" applyProtection="1">
      <alignment horizontal="left" vertical="center"/>
      <protection locked="0"/>
    </xf>
    <xf numFmtId="0" fontId="10" fillId="5" borderId="24" xfId="0" applyFont="1" applyFill="1" applyBorder="1" applyAlignment="1" applyProtection="1">
      <protection locked="0"/>
    </xf>
    <xf numFmtId="0" fontId="10" fillId="0" borderId="24" xfId="0" applyFont="1" applyBorder="1" applyProtection="1">
      <protection locked="0"/>
    </xf>
    <xf numFmtId="1" fontId="1" fillId="0" borderId="24" xfId="0" applyNumberFormat="1" applyFont="1" applyBorder="1" applyAlignment="1" applyProtection="1">
      <alignment horizontal="left" vertical="center"/>
      <protection locked="0"/>
    </xf>
    <xf numFmtId="1" fontId="1" fillId="5" borderId="24" xfId="0" applyNumberFormat="1" applyFont="1" applyFill="1" applyBorder="1" applyAlignment="1" applyProtection="1">
      <alignment horizontal="left" vertical="center"/>
      <protection locked="0"/>
    </xf>
    <xf numFmtId="0" fontId="10" fillId="5" borderId="27" xfId="0" applyFont="1" applyFill="1" applyBorder="1" applyAlignment="1" applyProtection="1">
      <protection locked="0"/>
    </xf>
    <xf numFmtId="0" fontId="10" fillId="5" borderId="22" xfId="0" applyFont="1" applyFill="1" applyBorder="1" applyAlignment="1" applyProtection="1">
      <protection locked="0"/>
    </xf>
    <xf numFmtId="0" fontId="1" fillId="0" borderId="0" xfId="0" applyFont="1" applyBorder="1" applyAlignment="1" applyProtection="1">
      <alignment vertical="center"/>
      <protection locked="0"/>
    </xf>
    <xf numFmtId="0" fontId="1" fillId="0" borderId="24" xfId="0" applyFont="1" applyBorder="1" applyAlignment="1" applyProtection="1">
      <alignment vertical="center"/>
      <protection locked="0"/>
    </xf>
    <xf numFmtId="1" fontId="1" fillId="5" borderId="25" xfId="0" applyNumberFormat="1" applyFont="1" applyFill="1" applyBorder="1" applyAlignment="1" applyProtection="1">
      <alignment horizontal="left" vertical="center"/>
      <protection locked="0"/>
    </xf>
    <xf numFmtId="1" fontId="1" fillId="5" borderId="1" xfId="0" applyNumberFormat="1" applyFont="1" applyFill="1" applyBorder="1" applyAlignment="1" applyProtection="1">
      <alignment horizontal="left" vertical="center"/>
      <protection locked="0"/>
    </xf>
    <xf numFmtId="1" fontId="1" fillId="5" borderId="26" xfId="0" applyNumberFormat="1" applyFont="1" applyFill="1" applyBorder="1" applyAlignment="1" applyProtection="1">
      <alignment horizontal="left" vertical="center"/>
      <protection locked="0"/>
    </xf>
    <xf numFmtId="0" fontId="1" fillId="0" borderId="1" xfId="0" applyFont="1" applyBorder="1" applyAlignment="1" applyProtection="1">
      <alignment vertical="center"/>
      <protection locked="0"/>
    </xf>
    <xf numFmtId="0" fontId="1" fillId="0" borderId="26" xfId="0" applyFont="1" applyBorder="1" applyAlignment="1" applyProtection="1">
      <alignment vertical="center"/>
      <protection locked="0"/>
    </xf>
    <xf numFmtId="0" fontId="1" fillId="0" borderId="21" xfId="0" applyFont="1" applyFill="1" applyBorder="1" applyAlignment="1">
      <alignment vertical="center"/>
    </xf>
    <xf numFmtId="1" fontId="1" fillId="5" borderId="21" xfId="0" applyNumberFormat="1" applyFont="1" applyFill="1" applyBorder="1" applyAlignment="1" applyProtection="1">
      <alignment horizontal="left" vertical="center"/>
      <protection locked="0"/>
    </xf>
    <xf numFmtId="1" fontId="1" fillId="5" borderId="27" xfId="0" applyNumberFormat="1" applyFont="1" applyFill="1" applyBorder="1" applyAlignment="1" applyProtection="1">
      <alignment horizontal="left" vertical="center"/>
      <protection locked="0"/>
    </xf>
    <xf numFmtId="1" fontId="1" fillId="5" borderId="22" xfId="0" applyNumberFormat="1" applyFont="1" applyFill="1" applyBorder="1" applyAlignment="1" applyProtection="1">
      <alignment horizontal="left" vertical="center"/>
      <protection locked="0"/>
    </xf>
    <xf numFmtId="0" fontId="1" fillId="0" borderId="23" xfId="0" applyFont="1" applyFill="1" applyBorder="1" applyAlignment="1">
      <alignment vertical="center"/>
    </xf>
    <xf numFmtId="0" fontId="1" fillId="0" borderId="25" xfId="0" applyFont="1" applyFill="1" applyBorder="1" applyAlignment="1">
      <alignment vertical="center"/>
    </xf>
    <xf numFmtId="1" fontId="1" fillId="0" borderId="27" xfId="0" applyNumberFormat="1" applyFont="1" applyBorder="1" applyAlignment="1" applyProtection="1">
      <alignment horizontal="left" vertical="center"/>
      <protection locked="0"/>
    </xf>
    <xf numFmtId="0" fontId="27" fillId="5" borderId="21" xfId="0" applyFont="1" applyFill="1" applyBorder="1" applyAlignment="1" applyProtection="1">
      <protection locked="0"/>
    </xf>
    <xf numFmtId="0" fontId="1" fillId="0" borderId="21" xfId="0" applyFont="1" applyBorder="1" applyProtection="1">
      <protection locked="0"/>
    </xf>
    <xf numFmtId="0" fontId="1" fillId="5" borderId="22" xfId="0" applyFont="1" applyFill="1" applyBorder="1" applyAlignment="1" applyProtection="1">
      <alignment horizontal="center"/>
      <protection locked="0"/>
    </xf>
    <xf numFmtId="0" fontId="10" fillId="5" borderId="63" xfId="0" applyFont="1" applyFill="1" applyBorder="1" applyAlignment="1" applyProtection="1">
      <alignment horizontal="left"/>
      <protection locked="0"/>
    </xf>
    <xf numFmtId="0" fontId="10" fillId="5" borderId="63" xfId="0" applyFont="1" applyFill="1" applyBorder="1" applyAlignment="1" applyProtection="1">
      <alignment horizontal="center"/>
      <protection locked="0"/>
    </xf>
    <xf numFmtId="0" fontId="10" fillId="5" borderId="22" xfId="0" applyFont="1" applyFill="1" applyBorder="1" applyAlignment="1" applyProtection="1">
      <alignment horizontal="center"/>
      <protection locked="0"/>
    </xf>
    <xf numFmtId="0" fontId="1" fillId="0" borderId="23" xfId="0" applyFont="1" applyBorder="1" applyProtection="1">
      <protection locked="0"/>
    </xf>
    <xf numFmtId="0" fontId="10" fillId="5" borderId="24" xfId="0" applyFont="1" applyFill="1" applyBorder="1" applyAlignment="1" applyProtection="1">
      <alignment horizontal="center"/>
      <protection locked="0"/>
    </xf>
    <xf numFmtId="0" fontId="1" fillId="5" borderId="24" xfId="0" applyFont="1" applyFill="1" applyBorder="1" applyAlignment="1">
      <alignment horizontal="center"/>
    </xf>
    <xf numFmtId="164" fontId="1" fillId="5" borderId="26" xfId="0" applyNumberFormat="1" applyFont="1" applyFill="1" applyBorder="1" applyAlignment="1" applyProtection="1">
      <alignment horizontal="center" vertical="center"/>
      <protection locked="0"/>
    </xf>
    <xf numFmtId="1" fontId="1" fillId="0" borderId="107" xfId="0" applyNumberFormat="1" applyFont="1" applyBorder="1" applyAlignment="1" applyProtection="1">
      <alignment horizontal="left" vertical="center"/>
      <protection locked="0"/>
    </xf>
    <xf numFmtId="1" fontId="1" fillId="0" borderId="5" xfId="0" applyNumberFormat="1" applyFont="1" applyBorder="1" applyAlignment="1" applyProtection="1">
      <alignment horizontal="left" vertical="center"/>
      <protection locked="0"/>
    </xf>
    <xf numFmtId="0" fontId="1" fillId="7" borderId="0" xfId="0" applyFont="1" applyFill="1" applyAlignment="1"/>
    <xf numFmtId="0" fontId="1" fillId="0" borderId="27" xfId="0" applyFont="1" applyBorder="1"/>
    <xf numFmtId="0" fontId="0" fillId="0" borderId="27" xfId="0" applyBorder="1"/>
    <xf numFmtId="0" fontId="26" fillId="0" borderId="0" xfId="0" applyFont="1" applyAlignment="1">
      <alignment vertical="center"/>
    </xf>
    <xf numFmtId="14" fontId="1" fillId="0" borderId="0" xfId="0" applyNumberFormat="1" applyFont="1"/>
    <xf numFmtId="0" fontId="1" fillId="0" borderId="0" xfId="0" applyFont="1" applyFill="1" applyBorder="1" applyAlignment="1">
      <alignment vertical="center"/>
    </xf>
    <xf numFmtId="1" fontId="1" fillId="0" borderId="0" xfId="0" applyNumberFormat="1" applyFont="1" applyFill="1" applyBorder="1" applyAlignment="1">
      <alignment vertical="center"/>
    </xf>
    <xf numFmtId="1" fontId="12" fillId="0" borderId="0" xfId="0" applyNumberFormat="1" applyFont="1" applyFill="1" applyBorder="1" applyAlignment="1">
      <alignment vertical="center"/>
    </xf>
    <xf numFmtId="0" fontId="27" fillId="0" borderId="0" xfId="0" applyFont="1" applyProtection="1">
      <protection locked="0"/>
    </xf>
    <xf numFmtId="0" fontId="10" fillId="13" borderId="21" xfId="0" applyFont="1" applyFill="1" applyBorder="1" applyAlignment="1" applyProtection="1">
      <alignment horizontal="center"/>
      <protection locked="0"/>
    </xf>
    <xf numFmtId="0" fontId="10" fillId="13" borderId="27" xfId="0" applyFont="1" applyFill="1" applyBorder="1" applyAlignment="1" applyProtection="1">
      <alignment horizontal="center"/>
      <protection locked="0"/>
    </xf>
    <xf numFmtId="0" fontId="10" fillId="13" borderId="22" xfId="0" applyFont="1" applyFill="1" applyBorder="1" applyAlignment="1" applyProtection="1">
      <alignment horizontal="center"/>
      <protection locked="0"/>
    </xf>
    <xf numFmtId="0" fontId="10" fillId="14" borderId="26" xfId="0" applyFont="1" applyFill="1" applyBorder="1" applyAlignment="1" applyProtection="1">
      <alignment horizontal="center"/>
      <protection locked="0"/>
    </xf>
    <xf numFmtId="0" fontId="10" fillId="13" borderId="63" xfId="0" applyFont="1" applyFill="1" applyBorder="1" applyAlignment="1" applyProtection="1">
      <alignment horizontal="center"/>
      <protection locked="0"/>
    </xf>
    <xf numFmtId="0" fontId="10" fillId="13" borderId="108" xfId="0" applyFont="1" applyFill="1" applyBorder="1" applyAlignment="1" applyProtection="1">
      <alignment horizontal="center"/>
      <protection locked="0"/>
    </xf>
    <xf numFmtId="0" fontId="10" fillId="14" borderId="107" xfId="0" applyFont="1" applyFill="1" applyBorder="1" applyAlignment="1" applyProtection="1">
      <alignment horizontal="center"/>
      <protection locked="0"/>
    </xf>
    <xf numFmtId="0" fontId="10" fillId="13" borderId="5" xfId="0" applyFont="1" applyFill="1" applyBorder="1" applyAlignment="1" applyProtection="1">
      <alignment horizontal="center"/>
      <protection locked="0"/>
    </xf>
    <xf numFmtId="167" fontId="4" fillId="13" borderId="5" xfId="1" applyNumberFormat="1" applyFont="1" applyFill="1" applyBorder="1" applyAlignment="1">
      <alignment horizontal="center" vertical="top"/>
    </xf>
    <xf numFmtId="0" fontId="4" fillId="13" borderId="5" xfId="1" applyFont="1" applyFill="1" applyBorder="1" applyAlignment="1">
      <alignment horizontal="center" vertical="top"/>
    </xf>
    <xf numFmtId="0" fontId="4" fillId="13" borderId="5" xfId="1" quotePrefix="1" applyFont="1" applyFill="1" applyBorder="1" applyAlignment="1">
      <alignment horizontal="center" vertical="top"/>
    </xf>
    <xf numFmtId="0" fontId="21" fillId="13" borderId="5" xfId="1" applyFont="1" applyFill="1" applyBorder="1" applyAlignment="1">
      <alignment horizontal="center" vertical="top"/>
    </xf>
    <xf numFmtId="0" fontId="21" fillId="13" borderId="10" xfId="1" applyFont="1" applyFill="1" applyBorder="1" applyAlignment="1">
      <alignment horizontal="center" vertical="top"/>
    </xf>
    <xf numFmtId="167" fontId="4" fillId="13" borderId="10" xfId="1" applyNumberFormat="1" applyFont="1" applyFill="1" applyBorder="1" applyAlignment="1">
      <alignment horizontal="center" vertical="top"/>
    </xf>
    <xf numFmtId="0" fontId="4" fillId="13" borderId="107" xfId="1" applyFont="1" applyFill="1" applyBorder="1" applyAlignment="1">
      <alignment horizontal="center" vertical="top"/>
    </xf>
    <xf numFmtId="0" fontId="10" fillId="0" borderId="108" xfId="0" applyFont="1" applyBorder="1"/>
    <xf numFmtId="167" fontId="4" fillId="13" borderId="107" xfId="1" applyNumberFormat="1" applyFont="1" applyFill="1" applyBorder="1" applyAlignment="1">
      <alignment horizontal="center" vertical="top"/>
    </xf>
    <xf numFmtId="0" fontId="10" fillId="0" borderId="114" xfId="0" applyFont="1" applyBorder="1"/>
    <xf numFmtId="0" fontId="10" fillId="0" borderId="138" xfId="0" applyFont="1" applyBorder="1"/>
    <xf numFmtId="0" fontId="14" fillId="0" borderId="139" xfId="1" applyFont="1" applyBorder="1"/>
    <xf numFmtId="0" fontId="14" fillId="0" borderId="140" xfId="1" applyFont="1" applyBorder="1"/>
    <xf numFmtId="0" fontId="9" fillId="0" borderId="141" xfId="1" applyBorder="1"/>
    <xf numFmtId="0" fontId="9" fillId="0" borderId="116" xfId="1" applyBorder="1"/>
    <xf numFmtId="0" fontId="4" fillId="0" borderId="116" xfId="1" applyFont="1" applyBorder="1" applyAlignment="1">
      <alignment vertical="top" wrapText="1"/>
    </xf>
    <xf numFmtId="0" fontId="9" fillId="0" borderId="142" xfId="1" applyBorder="1"/>
    <xf numFmtId="0" fontId="23" fillId="13" borderId="18" xfId="1" applyFont="1" applyFill="1" applyBorder="1" applyAlignment="1">
      <alignment horizontal="center" vertical="top"/>
    </xf>
    <xf numFmtId="0" fontId="23" fillId="13" borderId="15" xfId="1" applyFont="1" applyFill="1" applyBorder="1" applyAlignment="1">
      <alignment horizontal="center" vertical="top"/>
    </xf>
    <xf numFmtId="0" fontId="4" fillId="13" borderId="15" xfId="1" applyFont="1" applyFill="1" applyBorder="1" applyAlignment="1">
      <alignment horizontal="center" vertical="top"/>
    </xf>
    <xf numFmtId="0" fontId="21" fillId="13" borderId="15" xfId="1" applyFont="1" applyFill="1" applyBorder="1" applyAlignment="1">
      <alignment horizontal="center" vertical="top"/>
    </xf>
    <xf numFmtId="0" fontId="21" fillId="13" borderId="135" xfId="1" applyFont="1" applyFill="1" applyBorder="1" applyAlignment="1">
      <alignment horizontal="center" vertical="top"/>
    </xf>
    <xf numFmtId="0" fontId="10" fillId="13" borderId="0" xfId="1" applyFont="1" applyFill="1"/>
    <xf numFmtId="49" fontId="1" fillId="0" borderId="0" xfId="0" applyNumberFormat="1" applyFont="1" applyFill="1"/>
    <xf numFmtId="0" fontId="1" fillId="0" borderId="0" xfId="0" applyNumberFormat="1" applyFont="1" applyFill="1"/>
    <xf numFmtId="169" fontId="1" fillId="0" borderId="0" xfId="0" applyNumberFormat="1" applyFont="1" applyFill="1"/>
    <xf numFmtId="1" fontId="1" fillId="0" borderId="0" xfId="0" applyNumberFormat="1" applyFont="1" applyFill="1"/>
    <xf numFmtId="2" fontId="8" fillId="0" borderId="0" xfId="4" applyNumberFormat="1" applyFont="1" applyFill="1"/>
    <xf numFmtId="0" fontId="37" fillId="0" borderId="0" xfId="0" applyFont="1" applyAlignment="1">
      <alignment horizontal="left" vertical="center"/>
    </xf>
    <xf numFmtId="0" fontId="38" fillId="0" borderId="0" xfId="0" applyFont="1" applyAlignment="1">
      <alignment horizontal="left" vertical="center"/>
    </xf>
    <xf numFmtId="1" fontId="1" fillId="0" borderId="0" xfId="0" applyNumberFormat="1" applyFont="1" applyFill="1" applyAlignment="1">
      <alignment horizontal="center"/>
    </xf>
    <xf numFmtId="49" fontId="4" fillId="7" borderId="143" xfId="0" applyNumberFormat="1" applyFont="1" applyFill="1" applyBorder="1" applyAlignment="1">
      <alignment horizontal="center" vertical="center"/>
    </xf>
    <xf numFmtId="0" fontId="4" fillId="7" borderId="144" xfId="0" applyFont="1" applyFill="1" applyBorder="1" applyAlignment="1">
      <alignment horizontal="center"/>
    </xf>
    <xf numFmtId="49" fontId="4" fillId="7" borderId="144" xfId="0" applyNumberFormat="1" applyFont="1" applyFill="1" applyBorder="1" applyAlignment="1">
      <alignment horizontal="center" vertical="center"/>
    </xf>
    <xf numFmtId="0" fontId="4" fillId="6" borderId="1" xfId="0" applyFont="1" applyFill="1" applyBorder="1" applyAlignment="1">
      <alignment horizontal="right"/>
    </xf>
    <xf numFmtId="0" fontId="10" fillId="13" borderId="23" xfId="0" applyFont="1" applyFill="1" applyBorder="1" applyAlignment="1" applyProtection="1">
      <alignment horizontal="center"/>
      <protection locked="0"/>
    </xf>
    <xf numFmtId="0" fontId="10" fillId="13" borderId="24" xfId="0" applyFont="1" applyFill="1" applyBorder="1" applyAlignment="1" applyProtection="1">
      <alignment horizontal="center"/>
      <protection locked="0"/>
    </xf>
    <xf numFmtId="0" fontId="10" fillId="13" borderId="0" xfId="0" applyFont="1" applyFill="1" applyBorder="1" applyAlignment="1" applyProtection="1">
      <alignment horizontal="center"/>
      <protection locked="0"/>
    </xf>
    <xf numFmtId="0" fontId="10" fillId="0" borderId="0" xfId="0" applyFont="1" applyBorder="1"/>
    <xf numFmtId="0" fontId="14" fillId="0" borderId="0" xfId="1" applyFont="1" applyBorder="1"/>
    <xf numFmtId="0" fontId="4" fillId="13" borderId="0" xfId="1" applyFont="1" applyFill="1" applyBorder="1" applyAlignment="1">
      <alignment horizontal="center" vertical="top"/>
    </xf>
    <xf numFmtId="0" fontId="21" fillId="13" borderId="0" xfId="1" applyFont="1" applyFill="1" applyBorder="1" applyAlignment="1">
      <alignment horizontal="center" vertical="top"/>
    </xf>
    <xf numFmtId="0" fontId="41" fillId="0" borderId="0" xfId="0" applyFont="1" applyAlignment="1">
      <alignment horizontal="left" vertical="center"/>
    </xf>
    <xf numFmtId="0" fontId="42" fillId="0" borderId="0" xfId="0" applyFont="1" applyFill="1" applyBorder="1" applyAlignment="1">
      <alignment horizontal="right" vertical="center"/>
    </xf>
    <xf numFmtId="0" fontId="43" fillId="0" borderId="0" xfId="0" applyFont="1" applyFill="1" applyBorder="1" applyAlignment="1">
      <alignment vertical="center"/>
    </xf>
    <xf numFmtId="0" fontId="1" fillId="0" borderId="23" xfId="0" applyFont="1" applyBorder="1"/>
    <xf numFmtId="0" fontId="0" fillId="0" borderId="0" xfId="0" applyBorder="1"/>
    <xf numFmtId="0" fontId="1" fillId="0" borderId="23" xfId="0" applyFont="1" applyBorder="1" applyAlignment="1">
      <alignment vertical="center"/>
    </xf>
    <xf numFmtId="0" fontId="40" fillId="0" borderId="0" xfId="0" applyFont="1" applyFill="1" applyBorder="1" applyAlignment="1">
      <alignment vertical="top"/>
    </xf>
    <xf numFmtId="1" fontId="40" fillId="0" borderId="0" xfId="0" applyNumberFormat="1" applyFont="1" applyFill="1" applyBorder="1" applyAlignment="1">
      <alignment vertical="top"/>
    </xf>
    <xf numFmtId="0" fontId="0" fillId="0" borderId="0" xfId="0" applyFont="1" applyFill="1" applyBorder="1" applyAlignment="1">
      <alignment vertical="top"/>
    </xf>
    <xf numFmtId="0" fontId="0" fillId="0" borderId="0" xfId="0" applyFont="1" applyFill="1" applyBorder="1" applyAlignment="1">
      <alignment vertical="center"/>
    </xf>
    <xf numFmtId="0" fontId="13" fillId="0" borderId="34" xfId="0" applyFont="1" applyFill="1" applyBorder="1" applyAlignment="1">
      <alignment horizontal="center" vertical="center"/>
    </xf>
    <xf numFmtId="0" fontId="45" fillId="0" borderId="0" xfId="0" applyFont="1"/>
    <xf numFmtId="0" fontId="0" fillId="17" borderId="61" xfId="0" applyFill="1" applyBorder="1"/>
    <xf numFmtId="0" fontId="0" fillId="17" borderId="2" xfId="0" applyFill="1" applyBorder="1"/>
    <xf numFmtId="0" fontId="7" fillId="0" borderId="21" xfId="0" applyFont="1" applyBorder="1"/>
    <xf numFmtId="0" fontId="26" fillId="0" borderId="27" xfId="0" applyFont="1" applyBorder="1"/>
    <xf numFmtId="0" fontId="1" fillId="0" borderId="22" xfId="0" applyFont="1" applyBorder="1"/>
    <xf numFmtId="164" fontId="11" fillId="0" borderId="0" xfId="0" applyNumberFormat="1" applyFont="1" applyBorder="1"/>
    <xf numFmtId="165" fontId="11" fillId="9" borderId="0" xfId="0" applyNumberFormat="1" applyFont="1" applyFill="1" applyBorder="1"/>
    <xf numFmtId="164" fontId="11" fillId="9" borderId="0" xfId="0" applyNumberFormat="1" applyFont="1" applyFill="1" applyBorder="1"/>
    <xf numFmtId="164" fontId="11" fillId="0" borderId="24" xfId="0" applyNumberFormat="1" applyFont="1" applyBorder="1"/>
    <xf numFmtId="0" fontId="8" fillId="0" borderId="0" xfId="0" applyFont="1" applyBorder="1"/>
    <xf numFmtId="0" fontId="8" fillId="0" borderId="24" xfId="0" applyFont="1" applyBorder="1"/>
    <xf numFmtId="0" fontId="1" fillId="0" borderId="25" xfId="0" applyFont="1" applyBorder="1"/>
    <xf numFmtId="0" fontId="1" fillId="0" borderId="1" xfId="0" applyFont="1" applyBorder="1"/>
    <xf numFmtId="0" fontId="1" fillId="0" borderId="26" xfId="0" applyFont="1" applyBorder="1"/>
    <xf numFmtId="164" fontId="11" fillId="0" borderId="27" xfId="0" applyNumberFormat="1" applyFont="1" applyBorder="1"/>
    <xf numFmtId="0" fontId="7" fillId="0" borderId="23" xfId="0" applyFont="1" applyBorder="1"/>
    <xf numFmtId="0" fontId="1" fillId="2" borderId="23" xfId="0" applyFont="1" applyFill="1" applyBorder="1"/>
    <xf numFmtId="0" fontId="1" fillId="2" borderId="24" xfId="0" applyFont="1" applyFill="1" applyBorder="1"/>
    <xf numFmtId="0" fontId="1" fillId="12" borderId="23" xfId="0" applyFont="1" applyFill="1" applyBorder="1"/>
    <xf numFmtId="0" fontId="1" fillId="12" borderId="0" xfId="0" applyFont="1" applyFill="1" applyBorder="1"/>
    <xf numFmtId="0" fontId="8" fillId="12" borderId="0" xfId="0" applyFont="1" applyFill="1" applyBorder="1"/>
    <xf numFmtId="0" fontId="8" fillId="12" borderId="24" xfId="0" applyFont="1" applyFill="1" applyBorder="1"/>
    <xf numFmtId="0" fontId="1" fillId="12" borderId="0" xfId="0" applyFont="1" applyFill="1" applyBorder="1" applyAlignment="1">
      <alignment vertical="center"/>
    </xf>
    <xf numFmtId="0" fontId="1" fillId="0" borderId="23" xfId="0" applyFont="1" applyBorder="1" applyAlignment="1" applyProtection="1">
      <alignment vertical="center"/>
      <protection locked="0"/>
    </xf>
    <xf numFmtId="0" fontId="8" fillId="0" borderId="1" xfId="0" applyFont="1" applyBorder="1"/>
    <xf numFmtId="0" fontId="15" fillId="0" borderId="27" xfId="0" applyFont="1" applyBorder="1" applyAlignment="1">
      <alignment vertical="center"/>
    </xf>
    <xf numFmtId="0" fontId="8" fillId="0" borderId="27" xfId="0" applyFont="1" applyBorder="1"/>
    <xf numFmtId="165" fontId="25" fillId="7" borderId="27" xfId="0" applyNumberFormat="1" applyFont="1" applyFill="1" applyBorder="1"/>
    <xf numFmtId="165" fontId="25" fillId="0" borderId="27" xfId="0" applyNumberFormat="1" applyFont="1" applyFill="1" applyBorder="1"/>
    <xf numFmtId="0" fontId="8" fillId="0" borderId="22" xfId="0" applyFont="1" applyBorder="1"/>
    <xf numFmtId="0" fontId="15" fillId="0" borderId="0" xfId="0" applyFont="1" applyBorder="1" applyAlignment="1">
      <alignment vertical="center"/>
    </xf>
    <xf numFmtId="165" fontId="25" fillId="0" borderId="0" xfId="0" applyNumberFormat="1" applyFont="1" applyBorder="1"/>
    <xf numFmtId="165" fontId="25" fillId="9" borderId="0" xfId="0" applyNumberFormat="1" applyFont="1" applyFill="1" applyBorder="1"/>
    <xf numFmtId="165" fontId="25" fillId="7" borderId="0" xfId="0" applyNumberFormat="1" applyFont="1" applyFill="1" applyBorder="1"/>
    <xf numFmtId="165" fontId="25" fillId="0" borderId="0" xfId="0" applyNumberFormat="1" applyFont="1" applyFill="1" applyBorder="1"/>
    <xf numFmtId="164" fontId="25" fillId="7" borderId="0" xfId="0" applyNumberFormat="1" applyFont="1" applyFill="1" applyBorder="1"/>
    <xf numFmtId="164" fontId="25" fillId="0" borderId="0" xfId="0" applyNumberFormat="1" applyFont="1" applyFill="1" applyBorder="1"/>
    <xf numFmtId="0" fontId="15" fillId="0" borderId="23" xfId="0" applyFont="1" applyBorder="1" applyAlignment="1">
      <alignment vertical="center"/>
    </xf>
    <xf numFmtId="0" fontId="8" fillId="0" borderId="0" xfId="0" applyFont="1" applyBorder="1" applyAlignment="1">
      <alignment wrapText="1"/>
    </xf>
    <xf numFmtId="0" fontId="20" fillId="0" borderId="0" xfId="2" applyFont="1"/>
    <xf numFmtId="165" fontId="1" fillId="3" borderId="104" xfId="0" applyNumberFormat="1" applyFont="1" applyFill="1" applyBorder="1" applyAlignment="1" applyProtection="1">
      <alignment horizontal="center" vertical="center" shrinkToFit="1"/>
      <protection locked="0"/>
    </xf>
    <xf numFmtId="0" fontId="1" fillId="5" borderId="26" xfId="0" applyFont="1" applyFill="1" applyBorder="1" applyAlignment="1" applyProtection="1">
      <alignment horizontal="center"/>
      <protection locked="0"/>
    </xf>
    <xf numFmtId="0" fontId="1" fillId="0" borderId="1" xfId="0" applyFont="1" applyBorder="1" applyAlignment="1">
      <alignment horizontal="center" vertical="center"/>
    </xf>
    <xf numFmtId="0" fontId="20" fillId="0" borderId="0" xfId="2" applyFont="1" applyFill="1"/>
    <xf numFmtId="0" fontId="45" fillId="0" borderId="0" xfId="0" applyFont="1" applyAlignment="1">
      <alignment horizontal="center"/>
    </xf>
    <xf numFmtId="0" fontId="6" fillId="0" borderId="0" xfId="0" applyFont="1" applyFill="1"/>
    <xf numFmtId="0" fontId="0" fillId="16" borderId="0" xfId="0" applyFill="1"/>
    <xf numFmtId="1" fontId="0" fillId="18" borderId="0" xfId="0" applyNumberFormat="1" applyFill="1"/>
    <xf numFmtId="1" fontId="0" fillId="16" borderId="0" xfId="0" applyNumberFormat="1" applyFill="1"/>
    <xf numFmtId="0" fontId="0" fillId="18" borderId="0" xfId="0" applyFill="1"/>
    <xf numFmtId="0" fontId="0" fillId="5" borderId="0" xfId="0" applyFill="1"/>
    <xf numFmtId="0" fontId="45" fillId="4" borderId="0" xfId="0" applyFont="1" applyFill="1"/>
    <xf numFmtId="170" fontId="0" fillId="5" borderId="0" xfId="0" applyNumberFormat="1" applyFill="1"/>
    <xf numFmtId="171" fontId="0" fillId="5" borderId="0" xfId="0" applyNumberFormat="1" applyFill="1"/>
    <xf numFmtId="172" fontId="0" fillId="5" borderId="0" xfId="0" applyNumberFormat="1" applyFill="1"/>
    <xf numFmtId="0" fontId="45" fillId="0" borderId="27" xfId="0" applyFont="1" applyBorder="1" applyAlignment="1">
      <alignment horizontal="center"/>
    </xf>
    <xf numFmtId="0" fontId="0" fillId="0" borderId="0" xfId="0" applyFont="1" applyBorder="1" applyAlignment="1">
      <alignment horizontal="center"/>
    </xf>
    <xf numFmtId="1" fontId="0" fillId="0" borderId="0" xfId="0" applyNumberFormat="1" applyFont="1" applyBorder="1" applyAlignment="1">
      <alignment horizontal="center"/>
    </xf>
    <xf numFmtId="0" fontId="0" fillId="0" borderId="1" xfId="0" applyBorder="1"/>
    <xf numFmtId="0" fontId="10" fillId="13" borderId="21" xfId="0" applyFont="1" applyFill="1" applyBorder="1" applyAlignment="1" applyProtection="1">
      <alignment horizontal="center"/>
      <protection locked="0"/>
    </xf>
    <xf numFmtId="0" fontId="10" fillId="13" borderId="27" xfId="0" applyFont="1" applyFill="1" applyBorder="1" applyAlignment="1" applyProtection="1">
      <alignment horizontal="center"/>
      <protection locked="0"/>
    </xf>
    <xf numFmtId="0" fontId="10" fillId="13" borderId="22" xfId="0" applyFont="1" applyFill="1" applyBorder="1" applyAlignment="1" applyProtection="1">
      <alignment horizontal="center"/>
      <protection locked="0"/>
    </xf>
    <xf numFmtId="165" fontId="1" fillId="3" borderId="103" xfId="0" applyNumberFormat="1"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15" fillId="0" borderId="0" xfId="0" applyFont="1" applyBorder="1" applyAlignment="1">
      <alignment horizontal="center" vertical="center"/>
    </xf>
    <xf numFmtId="0" fontId="14" fillId="14" borderId="168" xfId="1" applyFont="1" applyFill="1" applyBorder="1" applyProtection="1">
      <protection locked="0"/>
    </xf>
    <xf numFmtId="0" fontId="14" fillId="14" borderId="168" xfId="1" applyFont="1" applyFill="1" applyBorder="1" applyAlignment="1" applyProtection="1">
      <alignment horizontal="center"/>
      <protection locked="0"/>
    </xf>
    <xf numFmtId="0" fontId="10" fillId="14" borderId="168" xfId="0" applyFont="1" applyFill="1" applyBorder="1" applyAlignment="1" applyProtection="1">
      <alignment horizontal="center"/>
      <protection locked="0"/>
    </xf>
    <xf numFmtId="0" fontId="10" fillId="13" borderId="139" xfId="0" applyFont="1" applyFill="1" applyBorder="1" applyAlignment="1" applyProtection="1">
      <alignment horizontal="center"/>
      <protection locked="0"/>
    </xf>
    <xf numFmtId="0" fontId="10" fillId="13" borderId="10" xfId="0" applyFont="1" applyFill="1" applyBorder="1" applyAlignment="1" applyProtection="1">
      <alignment horizontal="center"/>
      <protection locked="0"/>
    </xf>
    <xf numFmtId="0" fontId="10" fillId="13" borderId="168" xfId="0" applyFont="1" applyFill="1" applyBorder="1" applyAlignment="1" applyProtection="1">
      <alignment horizontal="center"/>
      <protection locked="0"/>
    </xf>
    <xf numFmtId="0" fontId="10" fillId="0" borderId="168" xfId="0" applyFont="1" applyBorder="1" applyProtection="1">
      <protection locked="0"/>
    </xf>
    <xf numFmtId="0" fontId="10" fillId="14" borderId="1" xfId="0" applyFont="1" applyFill="1" applyBorder="1" applyAlignment="1" applyProtection="1">
      <alignment horizontal="center"/>
      <protection locked="0"/>
    </xf>
    <xf numFmtId="0" fontId="10" fillId="13" borderId="8" xfId="0" applyFont="1" applyFill="1" applyBorder="1" applyAlignment="1" applyProtection="1">
      <alignment horizontal="center"/>
      <protection locked="0"/>
    </xf>
    <xf numFmtId="0" fontId="10" fillId="13" borderId="14" xfId="0" applyFont="1" applyFill="1" applyBorder="1" applyAlignment="1" applyProtection="1">
      <alignment horizontal="center"/>
      <protection locked="0"/>
    </xf>
    <xf numFmtId="0" fontId="10" fillId="13" borderId="9" xfId="0" applyFont="1" applyFill="1" applyBorder="1" applyAlignment="1" applyProtection="1">
      <alignment horizontal="center"/>
      <protection locked="0"/>
    </xf>
    <xf numFmtId="0" fontId="10" fillId="13" borderId="170" xfId="0" applyFont="1" applyFill="1" applyBorder="1" applyAlignment="1" applyProtection="1">
      <alignment horizontal="center"/>
      <protection locked="0"/>
    </xf>
    <xf numFmtId="0" fontId="10" fillId="0" borderId="23" xfId="0" applyFont="1" applyBorder="1" applyAlignment="1" applyProtection="1">
      <alignment horizontal="center"/>
      <protection locked="0"/>
    </xf>
    <xf numFmtId="0" fontId="10" fillId="0" borderId="168" xfId="0" applyFont="1" applyFill="1" applyBorder="1" applyAlignment="1" applyProtection="1">
      <alignment horizontal="center"/>
      <protection locked="0"/>
    </xf>
    <xf numFmtId="0" fontId="27" fillId="0" borderId="139" xfId="0" applyFont="1" applyFill="1" applyBorder="1" applyAlignment="1" applyProtection="1">
      <alignment horizontal="center"/>
      <protection locked="0"/>
    </xf>
    <xf numFmtId="0" fontId="27" fillId="0" borderId="169" xfId="0" applyFont="1" applyFill="1" applyBorder="1" applyAlignment="1" applyProtection="1">
      <alignment horizontal="center"/>
      <protection locked="0"/>
    </xf>
    <xf numFmtId="0" fontId="27" fillId="0" borderId="168" xfId="0" applyFont="1" applyFill="1" applyBorder="1" applyAlignment="1" applyProtection="1">
      <alignment horizontal="center"/>
      <protection locked="0"/>
    </xf>
    <xf numFmtId="0" fontId="10" fillId="0" borderId="170" xfId="0" applyFont="1" applyFill="1" applyBorder="1" applyAlignment="1" applyProtection="1">
      <alignment horizontal="center"/>
      <protection locked="0"/>
    </xf>
    <xf numFmtId="0" fontId="1" fillId="7" borderId="0" xfId="0" applyFont="1" applyFill="1" applyAlignment="1">
      <alignment horizontal="right" vertical="center"/>
    </xf>
    <xf numFmtId="0" fontId="10" fillId="0" borderId="110" xfId="0" applyFont="1" applyBorder="1" applyAlignment="1" applyProtection="1">
      <alignment horizontal="center"/>
      <protection locked="0"/>
    </xf>
    <xf numFmtId="0" fontId="10" fillId="0" borderId="111" xfId="0" applyFont="1" applyBorder="1" applyAlignment="1" applyProtection="1">
      <alignment horizontal="center"/>
      <protection locked="0"/>
    </xf>
    <xf numFmtId="0" fontId="10" fillId="0" borderId="166"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10" fillId="0" borderId="17" xfId="0" applyFont="1" applyBorder="1" applyProtection="1">
      <protection locked="0"/>
    </xf>
    <xf numFmtId="0" fontId="10" fillId="0" borderId="12" xfId="0" applyFont="1" applyBorder="1" applyProtection="1">
      <protection locked="0"/>
    </xf>
    <xf numFmtId="0" fontId="10" fillId="0" borderId="132" xfId="0" applyFont="1" applyBorder="1" applyProtection="1">
      <protection locked="0"/>
    </xf>
    <xf numFmtId="0" fontId="10" fillId="0" borderId="20" xfId="0" applyFont="1" applyBorder="1" applyProtection="1">
      <protection locked="0"/>
    </xf>
    <xf numFmtId="0" fontId="10" fillId="0" borderId="110" xfId="0" applyFont="1" applyBorder="1" applyProtection="1">
      <protection locked="0"/>
    </xf>
    <xf numFmtId="0" fontId="10" fillId="0" borderId="111" xfId="0" applyFont="1" applyBorder="1" applyProtection="1">
      <protection locked="0"/>
    </xf>
    <xf numFmtId="0" fontId="10" fillId="0" borderId="166" xfId="0" applyFont="1" applyBorder="1" applyProtection="1">
      <protection locked="0"/>
    </xf>
    <xf numFmtId="0" fontId="10" fillId="0" borderId="171" xfId="0" applyFont="1" applyBorder="1" applyProtection="1">
      <protection locked="0"/>
    </xf>
    <xf numFmtId="0" fontId="10" fillId="0" borderId="1" xfId="0" applyFont="1" applyBorder="1" applyProtection="1">
      <protection locked="0"/>
    </xf>
    <xf numFmtId="0" fontId="10" fillId="0" borderId="19" xfId="0" applyFont="1" applyBorder="1" applyProtection="1">
      <protection locked="0"/>
    </xf>
    <xf numFmtId="1" fontId="33"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1" fontId="1" fillId="0" borderId="0" xfId="0" applyNumberFormat="1" applyFont="1" applyFill="1" applyBorder="1" applyAlignment="1" applyProtection="1">
      <alignment horizontal="center" vertical="center"/>
    </xf>
    <xf numFmtId="0" fontId="1" fillId="2" borderId="0" xfId="0" applyFont="1" applyFill="1" applyProtection="1"/>
    <xf numFmtId="0" fontId="1" fillId="0" borderId="0" xfId="0" applyFont="1" applyProtection="1"/>
    <xf numFmtId="0" fontId="1" fillId="0" borderId="0" xfId="0" applyFont="1" applyFill="1" applyProtection="1"/>
    <xf numFmtId="0" fontId="4" fillId="0" borderId="0" xfId="0" applyFont="1" applyFill="1" applyBorder="1" applyAlignment="1" applyProtection="1">
      <alignment horizontal="center" vertical="center"/>
    </xf>
    <xf numFmtId="0" fontId="1" fillId="0" borderId="0" xfId="0" applyFont="1" applyAlignment="1" applyProtection="1">
      <alignment vertical="center"/>
    </xf>
    <xf numFmtId="1" fontId="15" fillId="0" borderId="0" xfId="0" applyNumberFormat="1"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Alignment="1" applyProtection="1"/>
    <xf numFmtId="0" fontId="7" fillId="0" borderId="0" xfId="0" applyFont="1" applyFill="1" applyAlignment="1" applyProtection="1">
      <alignment vertical="center"/>
    </xf>
    <xf numFmtId="0" fontId="48" fillId="0" borderId="0" xfId="0" applyFont="1" applyFill="1" applyProtection="1"/>
    <xf numFmtId="0" fontId="1" fillId="0" borderId="0" xfId="0" applyFont="1" applyFill="1" applyAlignment="1" applyProtection="1">
      <alignment horizontal="center"/>
    </xf>
    <xf numFmtId="0" fontId="5" fillId="0" borderId="21" xfId="0" applyFont="1" applyBorder="1" applyProtection="1"/>
    <xf numFmtId="0" fontId="1" fillId="0" borderId="27" xfId="0" applyFont="1" applyBorder="1" applyProtection="1"/>
    <xf numFmtId="0" fontId="0" fillId="0" borderId="27" xfId="0" applyBorder="1" applyProtection="1"/>
    <xf numFmtId="0" fontId="7" fillId="0" borderId="119" xfId="0" applyFont="1" applyBorder="1" applyAlignment="1" applyProtection="1">
      <alignment horizontal="center"/>
    </xf>
    <xf numFmtId="0" fontId="1" fillId="0" borderId="120" xfId="0" applyFont="1" applyFill="1" applyBorder="1" applyProtection="1"/>
    <xf numFmtId="0" fontId="7" fillId="0" borderId="120" xfId="0" applyFont="1" applyBorder="1" applyAlignment="1" applyProtection="1">
      <alignment horizontal="center"/>
    </xf>
    <xf numFmtId="0" fontId="1" fillId="0" borderId="121" xfId="0" applyFont="1" applyBorder="1" applyAlignment="1" applyProtection="1">
      <alignment horizontal="center"/>
    </xf>
    <xf numFmtId="0" fontId="7" fillId="0" borderId="122" xfId="0" applyFont="1" applyFill="1" applyBorder="1" applyProtection="1"/>
    <xf numFmtId="0" fontId="1" fillId="0" borderId="40" xfId="0" applyFont="1" applyFill="1" applyBorder="1" applyProtection="1"/>
    <xf numFmtId="0" fontId="1" fillId="0" borderId="46" xfId="0" applyFont="1" applyFill="1" applyBorder="1" applyProtection="1"/>
    <xf numFmtId="0" fontId="1" fillId="0" borderId="57" xfId="0" applyFont="1" applyFill="1" applyBorder="1" applyProtection="1"/>
    <xf numFmtId="0" fontId="1" fillId="0" borderId="42" xfId="0" applyFont="1" applyFill="1" applyBorder="1" applyProtection="1"/>
    <xf numFmtId="0" fontId="1" fillId="0" borderId="125" xfId="0" applyFont="1" applyFill="1" applyBorder="1" applyProtection="1"/>
    <xf numFmtId="0" fontId="1" fillId="0" borderId="60" xfId="0" applyFont="1" applyFill="1" applyBorder="1" applyProtection="1"/>
    <xf numFmtId="0" fontId="1" fillId="0" borderId="45" xfId="0" applyFont="1" applyFill="1" applyBorder="1" applyProtection="1"/>
    <xf numFmtId="0" fontId="1" fillId="0" borderId="1" xfId="0" applyFont="1" applyFill="1" applyBorder="1" applyAlignment="1" applyProtection="1">
      <alignment horizontal="center"/>
    </xf>
    <xf numFmtId="0" fontId="7" fillId="0" borderId="124" xfId="0" applyFont="1" applyFill="1" applyBorder="1" applyProtection="1"/>
    <xf numFmtId="0" fontId="1" fillId="0" borderId="64" xfId="0" applyFont="1" applyFill="1" applyBorder="1" applyProtection="1"/>
    <xf numFmtId="0" fontId="1" fillId="0" borderId="64" xfId="0" applyFont="1" applyBorder="1" applyProtection="1"/>
    <xf numFmtId="0" fontId="44" fillId="0" borderId="51" xfId="0" applyFont="1" applyFill="1" applyBorder="1" applyAlignment="1" applyProtection="1">
      <alignment horizontal="center"/>
    </xf>
    <xf numFmtId="1" fontId="1" fillId="0" borderId="51" xfId="0" applyNumberFormat="1" applyFont="1" applyFill="1" applyBorder="1" applyAlignment="1" applyProtection="1">
      <alignment horizontal="center"/>
    </xf>
    <xf numFmtId="1" fontId="1" fillId="0" borderId="123" xfId="0" applyNumberFormat="1" applyFont="1" applyFill="1" applyBorder="1" applyAlignment="1" applyProtection="1">
      <alignment horizontal="center"/>
    </xf>
    <xf numFmtId="0" fontId="1" fillId="0" borderId="21" xfId="0" applyFont="1" applyFill="1" applyBorder="1" applyProtection="1"/>
    <xf numFmtId="0" fontId="1" fillId="0" borderId="27" xfId="0" applyFont="1" applyFill="1" applyBorder="1" applyProtection="1"/>
    <xf numFmtId="0" fontId="1" fillId="0" borderId="23" xfId="0" applyFont="1" applyBorder="1" applyProtection="1"/>
    <xf numFmtId="0" fontId="1" fillId="0" borderId="0" xfId="0" applyFont="1" applyBorder="1" applyProtection="1"/>
    <xf numFmtId="0" fontId="0" fillId="0" borderId="0" xfId="0" applyBorder="1" applyProtection="1"/>
    <xf numFmtId="0" fontId="1" fillId="0" borderId="0" xfId="0" applyFont="1" applyFill="1" applyBorder="1" applyProtection="1"/>
    <xf numFmtId="0" fontId="1" fillId="0" borderId="24" xfId="0" applyFont="1" applyBorder="1" applyProtection="1"/>
    <xf numFmtId="0" fontId="1" fillId="0" borderId="23" xfId="0" applyFont="1" applyFill="1" applyBorder="1" applyProtection="1"/>
    <xf numFmtId="0" fontId="1" fillId="0" borderId="24" xfId="0" applyFont="1" applyFill="1" applyBorder="1" applyProtection="1"/>
    <xf numFmtId="0" fontId="1" fillId="0" borderId="59" xfId="0" applyFont="1" applyFill="1" applyBorder="1" applyProtection="1"/>
    <xf numFmtId="0" fontId="1" fillId="0" borderId="53" xfId="0" applyFont="1" applyFill="1" applyBorder="1" applyProtection="1"/>
    <xf numFmtId="0" fontId="1" fillId="0" borderId="54" xfId="0" applyFont="1" applyFill="1" applyBorder="1" applyProtection="1"/>
    <xf numFmtId="0" fontId="44" fillId="12" borderId="48" xfId="0" applyFont="1" applyFill="1" applyBorder="1" applyAlignment="1" applyProtection="1">
      <alignment horizontal="center"/>
    </xf>
    <xf numFmtId="0" fontId="1" fillId="0" borderId="55" xfId="0" applyFont="1" applyFill="1" applyBorder="1" applyProtection="1"/>
    <xf numFmtId="0" fontId="44" fillId="12" borderId="44" xfId="0" applyFont="1" applyFill="1" applyBorder="1" applyAlignment="1" applyProtection="1">
      <alignment horizontal="center"/>
    </xf>
    <xf numFmtId="1" fontId="1" fillId="0" borderId="43" xfId="0" applyNumberFormat="1" applyFont="1" applyFill="1" applyBorder="1" applyAlignment="1" applyProtection="1">
      <alignment horizontal="center"/>
    </xf>
    <xf numFmtId="1" fontId="1" fillId="0" borderId="44" xfId="0" applyNumberFormat="1" applyFont="1" applyFill="1" applyBorder="1" applyAlignment="1" applyProtection="1">
      <alignment horizontal="center"/>
    </xf>
    <xf numFmtId="1" fontId="1" fillId="0" borderId="146" xfId="0" applyNumberFormat="1" applyFont="1" applyFill="1" applyBorder="1" applyAlignment="1" applyProtection="1">
      <alignment horizontal="center"/>
    </xf>
    <xf numFmtId="1" fontId="1" fillId="0" borderId="45" xfId="0" applyNumberFormat="1" applyFont="1" applyFill="1" applyBorder="1" applyProtection="1"/>
    <xf numFmtId="0" fontId="1" fillId="0" borderId="45" xfId="0" applyFont="1" applyBorder="1" applyProtection="1"/>
    <xf numFmtId="0" fontId="1" fillId="0" borderId="124" xfId="0" applyFont="1" applyFill="1" applyBorder="1" applyProtection="1"/>
    <xf numFmtId="1" fontId="1" fillId="0" borderId="64" xfId="0" applyNumberFormat="1" applyFont="1" applyFill="1" applyBorder="1" applyProtection="1"/>
    <xf numFmtId="0" fontId="1" fillId="0" borderId="65" xfId="0" applyFont="1" applyFill="1" applyBorder="1" applyProtection="1"/>
    <xf numFmtId="0" fontId="44" fillId="12" borderId="67" xfId="0" applyFont="1" applyFill="1" applyBorder="1" applyAlignment="1" applyProtection="1">
      <alignment horizontal="center"/>
    </xf>
    <xf numFmtId="1" fontId="1" fillId="0" borderId="66" xfId="0" applyNumberFormat="1" applyFont="1" applyFill="1" applyBorder="1" applyAlignment="1" applyProtection="1">
      <alignment horizontal="center"/>
    </xf>
    <xf numFmtId="1" fontId="1" fillId="0" borderId="67" xfId="0" applyNumberFormat="1" applyFont="1" applyFill="1" applyBorder="1" applyAlignment="1" applyProtection="1">
      <alignment horizontal="center"/>
    </xf>
    <xf numFmtId="1" fontId="1" fillId="0" borderId="147" xfId="0" applyNumberFormat="1" applyFont="1" applyFill="1" applyBorder="1" applyAlignment="1" applyProtection="1">
      <alignment horizontal="center"/>
    </xf>
    <xf numFmtId="0" fontId="1" fillId="0" borderId="2" xfId="0" applyFont="1" applyBorder="1" applyProtection="1"/>
    <xf numFmtId="0" fontId="1" fillId="0" borderId="2" xfId="0" applyFont="1" applyFill="1" applyBorder="1" applyProtection="1"/>
    <xf numFmtId="0" fontId="1" fillId="0" borderId="62" xfId="0" applyFont="1" applyFill="1" applyBorder="1" applyProtection="1"/>
    <xf numFmtId="0" fontId="44" fillId="12" borderId="51" xfId="0" applyFont="1" applyFill="1" applyBorder="1" applyAlignment="1" applyProtection="1">
      <alignment horizontal="center"/>
    </xf>
    <xf numFmtId="1" fontId="1" fillId="0" borderId="69" xfId="0" applyNumberFormat="1" applyFont="1" applyFill="1" applyBorder="1" applyAlignment="1" applyProtection="1">
      <alignment horizontal="center"/>
    </xf>
    <xf numFmtId="1" fontId="1" fillId="0" borderId="70" xfId="0" applyNumberFormat="1" applyFont="1" applyFill="1" applyBorder="1" applyAlignment="1" applyProtection="1">
      <alignment horizontal="center"/>
    </xf>
    <xf numFmtId="1" fontId="1" fillId="0" borderId="148" xfId="0" applyNumberFormat="1" applyFont="1" applyFill="1" applyBorder="1" applyAlignment="1" applyProtection="1">
      <alignment horizontal="center"/>
    </xf>
    <xf numFmtId="0" fontId="5" fillId="0" borderId="23" xfId="0" applyFont="1" applyBorder="1" applyProtection="1"/>
    <xf numFmtId="1" fontId="1" fillId="0" borderId="41" xfId="0" applyNumberFormat="1" applyFont="1" applyFill="1" applyBorder="1" applyAlignment="1" applyProtection="1">
      <alignment horizontal="center"/>
    </xf>
    <xf numFmtId="1" fontId="1" fillId="0" borderId="42" xfId="0" applyNumberFormat="1" applyFont="1" applyFill="1" applyBorder="1" applyAlignment="1" applyProtection="1">
      <alignment horizontal="center"/>
    </xf>
    <xf numFmtId="1" fontId="1" fillId="0" borderId="149" xfId="0" applyNumberFormat="1" applyFont="1" applyFill="1" applyBorder="1" applyAlignment="1" applyProtection="1">
      <alignment horizontal="center"/>
    </xf>
    <xf numFmtId="0" fontId="1" fillId="0" borderId="23"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vertical="center"/>
    </xf>
    <xf numFmtId="0" fontId="1" fillId="0" borderId="150" xfId="0" applyFont="1" applyFill="1" applyBorder="1" applyProtection="1"/>
    <xf numFmtId="0" fontId="1" fillId="0" borderId="56" xfId="0" applyFont="1" applyFill="1" applyBorder="1" applyProtection="1"/>
    <xf numFmtId="1" fontId="1" fillId="0" borderId="56" xfId="0" applyNumberFormat="1" applyFont="1" applyFill="1" applyBorder="1" applyProtection="1"/>
    <xf numFmtId="0" fontId="1" fillId="0" borderId="56" xfId="0" applyFont="1" applyBorder="1" applyProtection="1"/>
    <xf numFmtId="1" fontId="1" fillId="0" borderId="55" xfId="0" applyNumberFormat="1" applyFont="1" applyFill="1" applyBorder="1" applyAlignment="1" applyProtection="1">
      <alignment horizontal="center"/>
    </xf>
    <xf numFmtId="0" fontId="1" fillId="0" borderId="157" xfId="0" applyFont="1" applyFill="1" applyBorder="1" applyProtection="1"/>
    <xf numFmtId="0" fontId="1" fillId="0" borderId="158" xfId="0" applyFont="1" applyFill="1" applyBorder="1" applyProtection="1"/>
    <xf numFmtId="0" fontId="1" fillId="0" borderId="159" xfId="0" applyFont="1" applyFill="1" applyBorder="1" applyProtection="1"/>
    <xf numFmtId="0" fontId="44" fillId="12" borderId="49" xfId="0" applyFont="1" applyFill="1" applyBorder="1" applyAlignment="1" applyProtection="1">
      <alignment horizontal="center"/>
    </xf>
    <xf numFmtId="1" fontId="1" fillId="0" borderId="49" xfId="0" applyNumberFormat="1" applyFont="1" applyFill="1" applyBorder="1" applyAlignment="1" applyProtection="1">
      <alignment horizontal="center"/>
    </xf>
    <xf numFmtId="1" fontId="1" fillId="0" borderId="151" xfId="0" applyNumberFormat="1" applyFont="1" applyFill="1" applyBorder="1" applyAlignment="1" applyProtection="1">
      <alignment horizontal="center"/>
    </xf>
    <xf numFmtId="0" fontId="1" fillId="0" borderId="24" xfId="0" applyFont="1" applyBorder="1" applyAlignment="1" applyProtection="1">
      <alignment vertical="center"/>
    </xf>
    <xf numFmtId="1" fontId="1" fillId="12" borderId="0" xfId="0" applyNumberFormat="1" applyFont="1" applyFill="1" applyBorder="1" applyAlignment="1" applyProtection="1">
      <alignment horizontal="center"/>
    </xf>
    <xf numFmtId="1" fontId="1" fillId="0" borderId="0" xfId="0" applyNumberFormat="1" applyFont="1" applyBorder="1" applyAlignment="1" applyProtection="1">
      <alignment vertical="center"/>
    </xf>
    <xf numFmtId="1" fontId="1" fillId="0" borderId="24" xfId="0" applyNumberFormat="1" applyFont="1" applyBorder="1" applyAlignment="1" applyProtection="1">
      <alignment vertical="center"/>
    </xf>
    <xf numFmtId="0" fontId="1" fillId="0" borderId="156" xfId="0" applyFont="1" applyBorder="1" applyAlignment="1" applyProtection="1">
      <alignment vertical="center"/>
    </xf>
    <xf numFmtId="0" fontId="1" fillId="0" borderId="4" xfId="0" applyFont="1" applyBorder="1" applyAlignment="1" applyProtection="1">
      <alignment vertical="center"/>
    </xf>
    <xf numFmtId="0" fontId="15" fillId="0" borderId="4" xfId="0" applyFont="1" applyBorder="1" applyAlignment="1" applyProtection="1">
      <alignment horizontal="right" vertical="center"/>
    </xf>
    <xf numFmtId="0" fontId="15" fillId="0" borderId="152" xfId="0" applyFont="1" applyBorder="1" applyAlignment="1" applyProtection="1">
      <alignment horizontal="right"/>
    </xf>
    <xf numFmtId="0" fontId="1" fillId="0" borderId="45" xfId="0" applyFont="1" applyFill="1" applyBorder="1" applyAlignment="1" applyProtection="1">
      <alignment horizontal="right"/>
    </xf>
    <xf numFmtId="1" fontId="1" fillId="0" borderId="45" xfId="0" applyNumberFormat="1" applyFont="1" applyFill="1" applyBorder="1" applyAlignment="1" applyProtection="1">
      <alignment horizontal="right"/>
    </xf>
    <xf numFmtId="0" fontId="1" fillId="0" borderId="109" xfId="0" applyFont="1" applyFill="1" applyBorder="1" applyProtection="1"/>
    <xf numFmtId="0" fontId="44" fillId="12" borderId="155" xfId="0" applyFont="1" applyFill="1" applyBorder="1" applyAlignment="1" applyProtection="1">
      <alignment horizontal="center"/>
    </xf>
    <xf numFmtId="1" fontId="1" fillId="0" borderId="52" xfId="0" applyNumberFormat="1" applyFont="1" applyFill="1" applyBorder="1" applyAlignment="1" applyProtection="1">
      <alignment horizontal="center"/>
    </xf>
    <xf numFmtId="1" fontId="1" fillId="0" borderId="109" xfId="0" applyNumberFormat="1" applyFont="1" applyFill="1" applyBorder="1" applyAlignment="1" applyProtection="1">
      <alignment horizontal="center"/>
    </xf>
    <xf numFmtId="0" fontId="7" fillId="0" borderId="141" xfId="0" applyFont="1" applyFill="1" applyBorder="1" applyAlignment="1" applyProtection="1">
      <alignment horizontal="left"/>
    </xf>
    <xf numFmtId="0" fontId="7" fillId="0" borderId="160" xfId="0" applyFont="1" applyFill="1" applyBorder="1" applyAlignment="1" applyProtection="1">
      <alignment horizontal="left"/>
    </xf>
    <xf numFmtId="0" fontId="7" fillId="0" borderId="111" xfId="0" applyFont="1" applyFill="1" applyBorder="1" applyProtection="1"/>
    <xf numFmtId="49" fontId="1" fillId="0" borderId="6" xfId="0" applyNumberFormat="1" applyFont="1" applyBorder="1" applyAlignment="1" applyProtection="1">
      <alignment horizontal="center" vertical="center"/>
    </xf>
    <xf numFmtId="49" fontId="1" fillId="0" borderId="114" xfId="0" applyNumberFormat="1" applyFont="1" applyBorder="1" applyAlignment="1" applyProtection="1">
      <alignment vertical="center"/>
    </xf>
    <xf numFmtId="49" fontId="1" fillId="0" borderId="115" xfId="0" applyNumberFormat="1" applyFont="1" applyBorder="1" applyAlignment="1" applyProtection="1">
      <alignment vertical="center"/>
    </xf>
    <xf numFmtId="49" fontId="1" fillId="0" borderId="116" xfId="0" applyNumberFormat="1" applyFont="1" applyBorder="1" applyAlignment="1" applyProtection="1"/>
    <xf numFmtId="49" fontId="1" fillId="0" borderId="2" xfId="0" applyNumberFormat="1" applyFont="1" applyBorder="1" applyAlignment="1" applyProtection="1"/>
    <xf numFmtId="1" fontId="1" fillId="0" borderId="5" xfId="0" applyNumberFormat="1" applyFont="1" applyBorder="1" applyAlignment="1" applyProtection="1">
      <alignment horizontal="center" vertical="center"/>
    </xf>
    <xf numFmtId="1" fontId="1" fillId="12" borderId="5" xfId="0" applyNumberFormat="1" applyFont="1" applyFill="1" applyBorder="1" applyAlignment="1" applyProtection="1">
      <alignment horizontal="center" vertical="center"/>
    </xf>
    <xf numFmtId="1" fontId="1" fillId="0" borderId="117" xfId="0" applyNumberFormat="1" applyFont="1" applyBorder="1" applyAlignment="1" applyProtection="1">
      <alignment horizontal="center" vertical="center"/>
    </xf>
    <xf numFmtId="49" fontId="7" fillId="0" borderId="116" xfId="0" applyNumberFormat="1" applyFont="1" applyFill="1" applyBorder="1" applyAlignment="1" applyProtection="1"/>
    <xf numFmtId="49" fontId="7" fillId="0" borderId="2" xfId="0" applyNumberFormat="1" applyFont="1" applyFill="1" applyBorder="1" applyAlignment="1" applyProtection="1"/>
    <xf numFmtId="49" fontId="7" fillId="0" borderId="62" xfId="0" applyNumberFormat="1" applyFont="1" applyFill="1" applyBorder="1" applyAlignment="1" applyProtection="1"/>
    <xf numFmtId="1" fontId="7" fillId="12" borderId="62" xfId="0" applyNumberFormat="1" applyFont="1" applyFill="1" applyBorder="1" applyAlignment="1" applyProtection="1">
      <alignment horizontal="center" vertical="center"/>
    </xf>
    <xf numFmtId="1" fontId="7" fillId="0" borderId="5" xfId="0" applyNumberFormat="1" applyFont="1" applyFill="1" applyBorder="1" applyAlignment="1" applyProtection="1">
      <alignment horizontal="center" vertical="center"/>
    </xf>
    <xf numFmtId="1" fontId="7" fillId="0" borderId="117" xfId="0" applyNumberFormat="1" applyFont="1" applyFill="1" applyBorder="1" applyAlignment="1" applyProtection="1">
      <alignment horizontal="center" vertical="center"/>
    </xf>
    <xf numFmtId="0" fontId="1" fillId="0" borderId="127" xfId="0" applyFont="1" applyFill="1" applyBorder="1" applyProtection="1"/>
    <xf numFmtId="0" fontId="1" fillId="0" borderId="27" xfId="0" applyFont="1" applyFill="1" applyBorder="1" applyAlignment="1" applyProtection="1"/>
    <xf numFmtId="0" fontId="1" fillId="0" borderId="27" xfId="0" applyFont="1" applyFill="1" applyBorder="1" applyAlignment="1" applyProtection="1">
      <alignment horizontal="center"/>
    </xf>
    <xf numFmtId="0" fontId="1" fillId="0" borderId="22" xfId="0" applyFont="1" applyFill="1" applyBorder="1" applyAlignment="1" applyProtection="1">
      <alignment horizontal="center"/>
    </xf>
    <xf numFmtId="0" fontId="1" fillId="0" borderId="63" xfId="0" applyFont="1" applyFill="1" applyBorder="1" applyAlignment="1" applyProtection="1">
      <alignment horizontal="center"/>
    </xf>
    <xf numFmtId="0" fontId="1" fillId="0" borderId="128" xfId="0" applyFont="1" applyFill="1" applyBorder="1" applyAlignment="1" applyProtection="1">
      <alignment horizontal="center"/>
    </xf>
    <xf numFmtId="0" fontId="1" fillId="6" borderId="129" xfId="0" applyFont="1" applyFill="1" applyBorder="1" applyProtection="1"/>
    <xf numFmtId="0" fontId="1" fillId="6" borderId="130" xfId="0" applyFont="1" applyFill="1" applyBorder="1" applyProtection="1"/>
    <xf numFmtId="0" fontId="1" fillId="6" borderId="131" xfId="0" applyFont="1" applyFill="1" applyBorder="1" applyAlignment="1" applyProtection="1">
      <alignment horizontal="center"/>
    </xf>
    <xf numFmtId="0" fontId="1" fillId="6" borderId="164" xfId="0" applyFont="1" applyFill="1" applyBorder="1" applyAlignment="1" applyProtection="1">
      <alignment horizontal="center"/>
    </xf>
    <xf numFmtId="0" fontId="1" fillId="15" borderId="110" xfId="0" applyFont="1" applyFill="1" applyBorder="1" applyAlignment="1" applyProtection="1"/>
    <xf numFmtId="0" fontId="1" fillId="15" borderId="111" xfId="0" applyFont="1" applyFill="1" applyBorder="1" applyProtection="1"/>
    <xf numFmtId="0" fontId="1" fillId="15" borderId="111" xfId="0" applyFont="1" applyFill="1" applyBorder="1" applyAlignment="1" applyProtection="1">
      <alignment horizontal="center"/>
    </xf>
    <xf numFmtId="0" fontId="1" fillId="15" borderId="165" xfId="0" applyFont="1" applyFill="1" applyBorder="1" applyAlignment="1" applyProtection="1">
      <alignment horizontal="center"/>
    </xf>
    <xf numFmtId="0" fontId="1" fillId="15" borderId="114" xfId="0" applyFont="1" applyFill="1" applyBorder="1" applyAlignment="1" applyProtection="1">
      <alignment horizontal="center" shrinkToFit="1"/>
    </xf>
    <xf numFmtId="0" fontId="1" fillId="15" borderId="114" xfId="0" applyFont="1" applyFill="1" applyBorder="1" applyAlignment="1" applyProtection="1">
      <alignment horizontal="center"/>
    </xf>
    <xf numFmtId="0" fontId="1" fillId="15" borderId="166" xfId="0" applyFont="1" applyFill="1" applyBorder="1" applyAlignment="1" applyProtection="1">
      <alignment horizontal="center"/>
    </xf>
    <xf numFmtId="0" fontId="1" fillId="15" borderId="129" xfId="0" applyFont="1" applyFill="1" applyBorder="1" applyProtection="1"/>
    <xf numFmtId="0" fontId="1" fillId="15" borderId="130" xfId="0" applyFont="1" applyFill="1" applyBorder="1" applyProtection="1"/>
    <xf numFmtId="0" fontId="1" fillId="15" borderId="130" xfId="0" applyFont="1" applyFill="1" applyBorder="1" applyAlignment="1" applyProtection="1">
      <alignment horizontal="center"/>
    </xf>
    <xf numFmtId="0" fontId="1" fillId="15" borderId="131" xfId="0" applyFont="1" applyFill="1" applyBorder="1" applyAlignment="1" applyProtection="1">
      <alignment horizontal="center" shrinkToFit="1"/>
    </xf>
    <xf numFmtId="0" fontId="1" fillId="15" borderId="172" xfId="0" applyFont="1" applyFill="1" applyBorder="1" applyAlignment="1" applyProtection="1">
      <alignment horizontal="center" shrinkToFit="1"/>
    </xf>
    <xf numFmtId="169" fontId="1" fillId="6" borderId="0" xfId="0" applyNumberFormat="1" applyFont="1" applyFill="1" applyAlignment="1" applyProtection="1">
      <alignment horizontal="center" vertical="center"/>
    </xf>
    <xf numFmtId="1" fontId="1" fillId="2" borderId="0" xfId="0" applyNumberFormat="1" applyFont="1" applyFill="1" applyAlignment="1" applyProtection="1">
      <alignment horizontal="center"/>
    </xf>
    <xf numFmtId="0" fontId="1" fillId="7" borderId="90" xfId="0" applyFont="1" applyFill="1" applyBorder="1" applyAlignment="1" applyProtection="1">
      <alignment horizontal="left" vertical="center"/>
    </xf>
    <xf numFmtId="0" fontId="1" fillId="7" borderId="91" xfId="0" applyFont="1" applyFill="1" applyBorder="1" applyAlignment="1" applyProtection="1">
      <alignment horizontal="left" vertical="center"/>
    </xf>
    <xf numFmtId="0" fontId="1" fillId="7" borderId="91" xfId="0" applyFont="1" applyFill="1" applyBorder="1" applyAlignment="1" applyProtection="1">
      <alignment vertical="center"/>
    </xf>
    <xf numFmtId="1" fontId="1" fillId="6" borderId="0" xfId="0" applyNumberFormat="1" applyFont="1" applyFill="1" applyAlignment="1" applyProtection="1">
      <alignment horizontal="center" vertical="center"/>
    </xf>
    <xf numFmtId="0" fontId="1" fillId="7" borderId="0" xfId="0" applyFont="1" applyFill="1" applyAlignment="1" applyProtection="1">
      <alignment vertical="center"/>
    </xf>
    <xf numFmtId="1" fontId="1" fillId="2" borderId="0" xfId="0" applyNumberFormat="1" applyFont="1" applyFill="1" applyAlignment="1" applyProtection="1">
      <alignment horizontal="center" vertical="center"/>
    </xf>
    <xf numFmtId="0" fontId="1" fillId="7" borderId="0" xfId="0" applyFont="1" applyFill="1" applyAlignment="1" applyProtection="1">
      <alignment horizontal="left" vertical="center"/>
    </xf>
    <xf numFmtId="0" fontId="1" fillId="2" borderId="0" xfId="0" applyFont="1" applyFill="1" applyAlignment="1" applyProtection="1">
      <alignment vertical="center"/>
    </xf>
    <xf numFmtId="0" fontId="1" fillId="6" borderId="0" xfId="0" applyFont="1" applyFill="1" applyAlignment="1" applyProtection="1">
      <alignment vertical="center"/>
    </xf>
    <xf numFmtId="0" fontId="15" fillId="7" borderId="87" xfId="0" applyFont="1" applyFill="1" applyBorder="1" applyAlignment="1" applyProtection="1">
      <alignment vertical="center"/>
    </xf>
    <xf numFmtId="0" fontId="15" fillId="7" borderId="88" xfId="0" applyFont="1" applyFill="1" applyBorder="1" applyAlignment="1" applyProtection="1">
      <alignment vertical="center"/>
    </xf>
    <xf numFmtId="169" fontId="1" fillId="0" borderId="47" xfId="0" applyNumberFormat="1" applyFont="1" applyFill="1" applyBorder="1" applyAlignment="1" applyProtection="1">
      <alignment horizontal="center"/>
    </xf>
    <xf numFmtId="169" fontId="1" fillId="0" borderId="48" xfId="0" applyNumberFormat="1" applyFont="1" applyFill="1" applyBorder="1" applyAlignment="1" applyProtection="1">
      <alignment horizontal="center"/>
    </xf>
    <xf numFmtId="169" fontId="1" fillId="0" borderId="145" xfId="0" applyNumberFormat="1" applyFont="1" applyFill="1" applyBorder="1" applyAlignment="1" applyProtection="1">
      <alignment horizontal="center"/>
    </xf>
    <xf numFmtId="1" fontId="8" fillId="0" borderId="0" xfId="0" applyNumberFormat="1" applyFont="1" applyFill="1" applyBorder="1" applyAlignment="1" applyProtection="1">
      <alignment horizontal="center" vertical="center"/>
      <protection locked="0"/>
    </xf>
    <xf numFmtId="1" fontId="49" fillId="0" borderId="0" xfId="0" applyNumberFormat="1" applyFont="1" applyFill="1" applyBorder="1" applyAlignment="1" applyProtection="1">
      <alignment horizontal="center" vertical="center"/>
    </xf>
    <xf numFmtId="0" fontId="1" fillId="0" borderId="0" xfId="0" applyFont="1" applyBorder="1" applyAlignment="1" applyProtection="1"/>
    <xf numFmtId="0" fontId="5" fillId="0" borderId="23" xfId="0" applyFont="1" applyBorder="1" applyAlignment="1" applyProtection="1"/>
    <xf numFmtId="0" fontId="50" fillId="0" borderId="0" xfId="0" applyFont="1" applyBorder="1" applyAlignment="1" applyProtection="1"/>
    <xf numFmtId="0" fontId="33" fillId="0" borderId="0" xfId="0" applyFont="1"/>
    <xf numFmtId="0" fontId="15" fillId="0" borderId="0" xfId="0" applyFont="1"/>
    <xf numFmtId="14" fontId="15" fillId="0" borderId="0" xfId="0" applyNumberFormat="1" applyFont="1"/>
    <xf numFmtId="14" fontId="15" fillId="0" borderId="0" xfId="0" applyNumberFormat="1" applyFont="1" applyBorder="1"/>
    <xf numFmtId="0" fontId="13" fillId="0" borderId="33" xfId="0" applyFont="1" applyFill="1" applyBorder="1" applyAlignment="1">
      <alignment horizontal="left" vertical="center"/>
    </xf>
    <xf numFmtId="0" fontId="15" fillId="0" borderId="0" xfId="0" applyFont="1" applyBorder="1"/>
    <xf numFmtId="1" fontId="20" fillId="0" borderId="0" xfId="0" applyNumberFormat="1" applyFont="1" applyBorder="1" applyAlignment="1" applyProtection="1">
      <alignment horizontal="left" vertical="center"/>
      <protection locked="0"/>
    </xf>
    <xf numFmtId="1" fontId="8" fillId="0" borderId="173" xfId="0" applyNumberFormat="1" applyFont="1" applyFill="1" applyBorder="1" applyAlignment="1">
      <alignment horizontal="left" vertical="center"/>
    </xf>
    <xf numFmtId="1" fontId="8" fillId="0" borderId="0" xfId="0" applyNumberFormat="1" applyFont="1" applyFill="1" applyBorder="1" applyAlignment="1">
      <alignment horizontal="center" vertical="center"/>
    </xf>
    <xf numFmtId="0" fontId="15" fillId="0" borderId="153" xfId="0" applyFont="1" applyBorder="1"/>
    <xf numFmtId="0" fontId="9" fillId="0" borderId="153" xfId="0" applyFont="1" applyBorder="1" applyAlignment="1" applyProtection="1">
      <alignment horizontal="left" vertical="center"/>
      <protection locked="0"/>
    </xf>
    <xf numFmtId="1" fontId="1" fillId="0" borderId="153" xfId="0" applyNumberFormat="1" applyFont="1" applyFill="1" applyBorder="1" applyAlignment="1">
      <alignment horizontal="center" vertical="center"/>
    </xf>
    <xf numFmtId="0" fontId="1" fillId="0" borderId="153" xfId="0" applyFont="1" applyFill="1" applyBorder="1"/>
    <xf numFmtId="1" fontId="4" fillId="0" borderId="153" xfId="0" applyNumberFormat="1" applyFont="1" applyFill="1" applyBorder="1" applyAlignment="1" applyProtection="1">
      <alignment horizontal="center" vertical="center"/>
      <protection locked="0"/>
    </xf>
    <xf numFmtId="0" fontId="1" fillId="0" borderId="153" xfId="0" applyFont="1" applyBorder="1" applyAlignment="1">
      <alignment vertical="center"/>
    </xf>
    <xf numFmtId="167" fontId="9" fillId="0" borderId="153" xfId="0" applyNumberFormat="1" applyFont="1" applyBorder="1" applyAlignment="1" applyProtection="1">
      <alignment horizontal="center"/>
      <protection locked="0"/>
    </xf>
    <xf numFmtId="1" fontId="1" fillId="0" borderId="174" xfId="0" applyNumberFormat="1" applyFont="1" applyBorder="1" applyProtection="1">
      <protection locked="0"/>
    </xf>
    <xf numFmtId="14" fontId="15" fillId="0" borderId="153" xfId="0" applyNumberFormat="1" applyFont="1" applyBorder="1"/>
    <xf numFmtId="0" fontId="15" fillId="0" borderId="45" xfId="0" applyFont="1" applyBorder="1"/>
    <xf numFmtId="14" fontId="15" fillId="0" borderId="44" xfId="0" applyNumberFormat="1" applyFont="1" applyBorder="1"/>
    <xf numFmtId="14" fontId="15" fillId="0" borderId="45" xfId="0" applyNumberFormat="1" applyFont="1" applyBorder="1"/>
    <xf numFmtId="0" fontId="15" fillId="0" borderId="40" xfId="0" applyFont="1" applyBorder="1"/>
    <xf numFmtId="14" fontId="15" fillId="0" borderId="42" xfId="0" applyNumberFormat="1" applyFont="1" applyBorder="1"/>
    <xf numFmtId="14" fontId="15" fillId="0" borderId="40" xfId="0" applyNumberFormat="1" applyFont="1" applyBorder="1"/>
    <xf numFmtId="0" fontId="33" fillId="0" borderId="153" xfId="0" applyFont="1" applyBorder="1"/>
    <xf numFmtId="0" fontId="9" fillId="0" borderId="153" xfId="0" applyFont="1" applyBorder="1" applyAlignment="1" applyProtection="1">
      <alignment horizontal="center" vertical="center"/>
      <protection locked="0"/>
    </xf>
    <xf numFmtId="1" fontId="4" fillId="0" borderId="153" xfId="0" applyNumberFormat="1" applyFont="1" applyFill="1" applyBorder="1" applyAlignment="1">
      <alignment horizontal="center" vertical="center"/>
    </xf>
    <xf numFmtId="0" fontId="4" fillId="0" borderId="153" xfId="0" applyFont="1" applyBorder="1" applyAlignment="1">
      <alignment horizontal="center" vertical="center"/>
    </xf>
    <xf numFmtId="0" fontId="9" fillId="0" borderId="40" xfId="0" applyFont="1" applyBorder="1" applyAlignment="1" applyProtection="1">
      <alignment horizontal="left" vertical="center"/>
      <protection locked="0"/>
    </xf>
    <xf numFmtId="0" fontId="51" fillId="0" borderId="42" xfId="0" applyFont="1" applyBorder="1" applyAlignment="1" applyProtection="1">
      <alignment horizontal="left" vertical="center"/>
      <protection locked="0"/>
    </xf>
    <xf numFmtId="0" fontId="9" fillId="0" borderId="40" xfId="0" applyFont="1" applyBorder="1" applyAlignment="1" applyProtection="1">
      <alignment horizontal="center" vertical="center"/>
      <protection locked="0"/>
    </xf>
    <xf numFmtId="1" fontId="4" fillId="0" borderId="42" xfId="0" applyNumberFormat="1" applyFont="1" applyFill="1" applyBorder="1" applyAlignment="1">
      <alignment horizontal="center" vertical="center"/>
    </xf>
    <xf numFmtId="0" fontId="4" fillId="0" borderId="44" xfId="0" applyFont="1" applyBorder="1" applyAlignment="1">
      <alignment horizontal="center" vertical="center"/>
    </xf>
    <xf numFmtId="0" fontId="9" fillId="0" borderId="43"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19" fillId="0" borderId="0" xfId="0" applyFont="1" applyProtection="1">
      <protection locked="0"/>
    </xf>
    <xf numFmtId="0" fontId="15" fillId="0" borderId="0" xfId="0" applyFont="1" applyAlignment="1">
      <alignment vertical="center"/>
    </xf>
    <xf numFmtId="0" fontId="52" fillId="0" borderId="75" xfId="0" applyFont="1" applyBorder="1" applyAlignment="1" applyProtection="1">
      <alignment vertical="center"/>
      <protection locked="0"/>
    </xf>
    <xf numFmtId="0" fontId="52" fillId="0" borderId="81" xfId="0" applyFont="1" applyBorder="1" applyAlignment="1">
      <alignment vertical="center"/>
    </xf>
    <xf numFmtId="0" fontId="53" fillId="0" borderId="76" xfId="0" applyFont="1" applyBorder="1" applyAlignment="1" applyProtection="1">
      <alignment vertical="center"/>
      <protection locked="0"/>
    </xf>
    <xf numFmtId="0" fontId="53" fillId="0" borderId="84" xfId="0" applyFont="1" applyBorder="1" applyAlignment="1">
      <alignment vertical="center"/>
    </xf>
    <xf numFmtId="167" fontId="4" fillId="12" borderId="0" xfId="0" applyNumberFormat="1" applyFont="1" applyFill="1" applyBorder="1" applyAlignment="1" applyProtection="1">
      <alignment horizontal="center" vertical="center"/>
      <protection locked="0"/>
    </xf>
    <xf numFmtId="0" fontId="9" fillId="4" borderId="153" xfId="0" applyFont="1" applyFill="1" applyBorder="1" applyAlignment="1" applyProtection="1">
      <alignment horizontal="left" vertical="center"/>
      <protection locked="0"/>
    </xf>
    <xf numFmtId="0" fontId="1" fillId="5" borderId="153" xfId="0" applyFont="1" applyFill="1" applyBorder="1" applyAlignment="1">
      <alignment vertical="center"/>
    </xf>
    <xf numFmtId="0" fontId="9" fillId="0" borderId="42" xfId="0" applyFont="1" applyBorder="1" applyAlignment="1" applyProtection="1">
      <alignment horizontal="center" vertical="center"/>
      <protection locked="0"/>
    </xf>
    <xf numFmtId="0" fontId="4" fillId="0" borderId="175" xfId="0" applyFont="1" applyFill="1" applyBorder="1" applyAlignment="1">
      <alignment horizontal="left" vertical="center"/>
    </xf>
    <xf numFmtId="0" fontId="9" fillId="0" borderId="42" xfId="0" applyFont="1" applyBorder="1" applyAlignment="1" applyProtection="1">
      <alignment horizontal="left" vertical="center"/>
      <protection locked="0"/>
    </xf>
    <xf numFmtId="0" fontId="20" fillId="0" borderId="153"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54" fillId="0" borderId="0" xfId="0" applyFont="1" applyFill="1" applyBorder="1" applyAlignment="1" applyProtection="1">
      <alignment horizontal="right" vertical="center"/>
      <protection hidden="1"/>
    </xf>
    <xf numFmtId="0" fontId="55" fillId="0" borderId="0" xfId="0" applyFont="1"/>
    <xf numFmtId="1" fontId="54" fillId="0" borderId="0" xfId="0" applyNumberFormat="1" applyFont="1" applyFill="1" applyBorder="1" applyAlignment="1" applyProtection="1">
      <alignment horizontal="center" vertical="center"/>
    </xf>
    <xf numFmtId="1" fontId="56"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 fillId="7" borderId="0" xfId="0" applyFont="1" applyFill="1" applyAlignment="1">
      <alignment vertical="center"/>
    </xf>
    <xf numFmtId="167" fontId="15" fillId="7" borderId="176" xfId="0" applyNumberFormat="1" applyFont="1" applyFill="1" applyBorder="1" applyAlignment="1" applyProtection="1">
      <alignment horizontal="center" vertical="center"/>
    </xf>
    <xf numFmtId="165" fontId="4" fillId="19" borderId="178" xfId="0" applyNumberFormat="1" applyFont="1" applyFill="1" applyBorder="1" applyAlignment="1" applyProtection="1">
      <alignment horizontal="center" vertical="center" shrinkToFit="1"/>
    </xf>
    <xf numFmtId="167" fontId="15" fillId="7" borderId="178" xfId="0" applyNumberFormat="1" applyFont="1" applyFill="1" applyBorder="1" applyAlignment="1" applyProtection="1">
      <alignment horizontal="center" vertical="center"/>
    </xf>
    <xf numFmtId="0" fontId="15" fillId="7" borderId="90" xfId="0" applyFont="1" applyFill="1" applyBorder="1" applyAlignment="1" applyProtection="1">
      <alignment vertical="center"/>
    </xf>
    <xf numFmtId="0" fontId="15" fillId="7" borderId="91" xfId="0" applyFont="1" applyFill="1" applyBorder="1" applyAlignment="1" applyProtection="1">
      <alignment vertical="center"/>
    </xf>
    <xf numFmtId="0" fontId="15" fillId="7" borderId="91" xfId="0" applyFont="1" applyFill="1" applyBorder="1" applyAlignment="1">
      <alignment vertical="center"/>
    </xf>
    <xf numFmtId="165" fontId="4" fillId="19" borderId="180" xfId="0" applyNumberFormat="1" applyFont="1" applyFill="1" applyBorder="1" applyAlignment="1" applyProtection="1">
      <alignment horizontal="center" vertical="center" shrinkToFit="1"/>
    </xf>
    <xf numFmtId="167" fontId="15" fillId="7" borderId="180" xfId="0" applyNumberFormat="1" applyFont="1" applyFill="1" applyBorder="1" applyAlignment="1" applyProtection="1">
      <alignment horizontal="center" vertical="center"/>
    </xf>
    <xf numFmtId="167" fontId="15" fillId="7" borderId="181" xfId="0" applyNumberFormat="1" applyFont="1" applyFill="1" applyBorder="1" applyAlignment="1" applyProtection="1">
      <alignment horizontal="center" vertical="center"/>
    </xf>
    <xf numFmtId="0" fontId="54" fillId="0" borderId="0" xfId="0" applyFont="1" applyFill="1" applyBorder="1" applyAlignment="1" applyProtection="1">
      <alignment horizontal="right"/>
      <protection hidden="1"/>
    </xf>
    <xf numFmtId="0" fontId="7" fillId="6" borderId="130" xfId="0" applyFont="1" applyFill="1" applyBorder="1" applyAlignment="1" applyProtection="1">
      <alignment horizontal="center"/>
    </xf>
    <xf numFmtId="0" fontId="14" fillId="6" borderId="130" xfId="0" applyFont="1" applyFill="1" applyBorder="1" applyAlignment="1" applyProtection="1">
      <alignment horizontal="center"/>
    </xf>
    <xf numFmtId="0" fontId="1" fillId="0" borderId="0" xfId="0" applyFont="1" applyFill="1" applyBorder="1" applyAlignment="1" applyProtection="1"/>
    <xf numFmtId="0" fontId="7" fillId="0" borderId="0" xfId="0" applyFont="1" applyFill="1" applyBorder="1" applyAlignment="1" applyProtection="1">
      <alignment vertical="center"/>
    </xf>
    <xf numFmtId="49" fontId="1" fillId="0" borderId="11" xfId="0" applyNumberFormat="1" applyFont="1" applyBorder="1" applyAlignment="1" applyProtection="1">
      <alignment vertical="center"/>
    </xf>
    <xf numFmtId="1" fontId="1" fillId="12" borderId="15" xfId="0" applyNumberFormat="1" applyFont="1" applyFill="1" applyBorder="1" applyAlignment="1" applyProtection="1">
      <alignment horizontal="center" vertical="center"/>
    </xf>
    <xf numFmtId="1" fontId="7" fillId="0" borderId="135" xfId="0" applyNumberFormat="1" applyFont="1" applyFill="1" applyBorder="1" applyAlignment="1" applyProtection="1">
      <alignment horizontal="center" vertical="center"/>
    </xf>
    <xf numFmtId="1" fontId="7" fillId="0" borderId="10" xfId="0" applyNumberFormat="1" applyFont="1" applyFill="1" applyBorder="1" applyAlignment="1" applyProtection="1">
      <alignment horizontal="center" vertical="center"/>
    </xf>
    <xf numFmtId="0" fontId="0" fillId="0" borderId="25" xfId="0" applyBorder="1"/>
    <xf numFmtId="0" fontId="0" fillId="0" borderId="26" xfId="0" applyBorder="1"/>
    <xf numFmtId="0" fontId="0" fillId="0" borderId="17" xfId="0" applyBorder="1"/>
    <xf numFmtId="0" fontId="0" fillId="0" borderId="12" xfId="0" applyBorder="1"/>
    <xf numFmtId="0" fontId="45" fillId="0" borderId="127" xfId="0" applyFont="1" applyBorder="1" applyAlignment="1">
      <alignment horizontal="center"/>
    </xf>
    <xf numFmtId="0" fontId="45" fillId="0" borderId="13" xfId="0" applyFont="1" applyBorder="1" applyAlignment="1">
      <alignment horizontal="center"/>
    </xf>
    <xf numFmtId="0" fontId="0" fillId="0" borderId="17" xfId="0" applyFont="1" applyBorder="1" applyAlignment="1">
      <alignment horizontal="center"/>
    </xf>
    <xf numFmtId="0" fontId="0" fillId="0" borderId="12" xfId="0" applyFont="1" applyBorder="1" applyAlignment="1">
      <alignment horizontal="center"/>
    </xf>
    <xf numFmtId="0" fontId="0" fillId="0" borderId="132" xfId="0" applyFont="1" applyBorder="1" applyAlignment="1">
      <alignment horizontal="center"/>
    </xf>
    <xf numFmtId="0" fontId="0" fillId="0" borderId="168" xfId="0" applyFont="1" applyBorder="1" applyAlignment="1">
      <alignment horizontal="center"/>
    </xf>
    <xf numFmtId="0" fontId="0" fillId="0" borderId="168" xfId="0" applyBorder="1"/>
    <xf numFmtId="0" fontId="0" fillId="0" borderId="20" xfId="0" applyFont="1" applyBorder="1" applyAlignment="1">
      <alignment horizontal="center"/>
    </xf>
    <xf numFmtId="0" fontId="0" fillId="0" borderId="132" xfId="0" applyBorder="1"/>
    <xf numFmtId="0" fontId="0" fillId="0" borderId="20" xfId="0" applyBorder="1"/>
    <xf numFmtId="0" fontId="0" fillId="0" borderId="0" xfId="0" applyAlignment="1">
      <alignment horizontal="left"/>
    </xf>
    <xf numFmtId="0" fontId="45" fillId="0" borderId="171" xfId="0" applyFont="1" applyBorder="1" applyAlignment="1">
      <alignment horizontal="center"/>
    </xf>
    <xf numFmtId="0" fontId="45" fillId="0" borderId="1" xfId="0" applyFont="1" applyBorder="1" applyAlignment="1">
      <alignment horizontal="center"/>
    </xf>
    <xf numFmtId="0" fontId="45" fillId="0" borderId="19" xfId="0" applyFont="1" applyBorder="1" applyAlignment="1">
      <alignment horizontal="center"/>
    </xf>
    <xf numFmtId="0" fontId="0" fillId="0" borderId="171" xfId="0" applyBorder="1"/>
    <xf numFmtId="0" fontId="0" fillId="0" borderId="19" xfId="0" applyBorder="1"/>
    <xf numFmtId="0" fontId="0" fillId="0" borderId="61" xfId="0" applyBorder="1"/>
    <xf numFmtId="0" fontId="0" fillId="0" borderId="62" xfId="0" applyBorder="1"/>
    <xf numFmtId="0" fontId="0" fillId="0" borderId="70" xfId="0" applyBorder="1" applyAlignment="1">
      <alignment horizontal="center"/>
    </xf>
    <xf numFmtId="0" fontId="0" fillId="11" borderId="21" xfId="0" applyFill="1" applyBorder="1"/>
    <xf numFmtId="0" fontId="0" fillId="11" borderId="120" xfId="0" applyFill="1" applyBorder="1" applyAlignment="1">
      <alignment horizontal="center"/>
    </xf>
    <xf numFmtId="1" fontId="0" fillId="11" borderId="120" xfId="0" applyNumberFormat="1" applyFill="1" applyBorder="1" applyAlignment="1">
      <alignment horizontal="center"/>
    </xf>
    <xf numFmtId="0" fontId="0" fillId="11" borderId="22" xfId="0" applyFill="1" applyBorder="1"/>
    <xf numFmtId="1" fontId="0" fillId="11" borderId="27" xfId="0" applyNumberFormat="1" applyFill="1" applyBorder="1"/>
    <xf numFmtId="1" fontId="0" fillId="0" borderId="1" xfId="0" applyNumberFormat="1" applyBorder="1"/>
    <xf numFmtId="0" fontId="0" fillId="14" borderId="25" xfId="0" applyFill="1" applyBorder="1"/>
    <xf numFmtId="0" fontId="0" fillId="14" borderId="51" xfId="0" applyFill="1" applyBorder="1"/>
    <xf numFmtId="0" fontId="0" fillId="14" borderId="26" xfId="0" applyFill="1" applyBorder="1"/>
    <xf numFmtId="1" fontId="0" fillId="14" borderId="2" xfId="0" applyNumberFormat="1" applyFill="1" applyBorder="1"/>
    <xf numFmtId="0" fontId="0" fillId="11" borderId="110" xfId="0" applyFill="1" applyBorder="1"/>
    <xf numFmtId="0" fontId="0" fillId="11" borderId="111" xfId="0" applyFill="1" applyBorder="1"/>
    <xf numFmtId="0" fontId="0" fillId="11" borderId="166" xfId="0" applyFill="1" applyBorder="1"/>
    <xf numFmtId="0" fontId="0" fillId="14" borderId="141" xfId="0" applyFill="1" applyBorder="1"/>
    <xf numFmtId="0" fontId="0" fillId="14" borderId="160" xfId="0" applyFill="1" applyBorder="1"/>
    <xf numFmtId="0" fontId="0" fillId="14" borderId="16" xfId="0" applyFill="1" applyBorder="1"/>
    <xf numFmtId="0" fontId="10" fillId="12" borderId="0" xfId="0" applyFont="1" applyFill="1"/>
    <xf numFmtId="0" fontId="27" fillId="12" borderId="0" xfId="0" applyFont="1" applyFill="1"/>
    <xf numFmtId="0" fontId="14" fillId="12" borderId="0" xfId="1" applyFont="1" applyFill="1"/>
    <xf numFmtId="0" fontId="10" fillId="0" borderId="0" xfId="0" applyFont="1" applyFill="1"/>
    <xf numFmtId="0" fontId="10" fillId="13" borderId="0" xfId="0" applyFont="1" applyFill="1" applyAlignment="1" applyProtection="1">
      <alignment horizontal="left"/>
      <protection locked="0"/>
    </xf>
    <xf numFmtId="0" fontId="10" fillId="13" borderId="107" xfId="0" applyFont="1" applyFill="1" applyBorder="1" applyAlignment="1" applyProtection="1">
      <alignment horizontal="center"/>
      <protection locked="0"/>
    </xf>
    <xf numFmtId="0" fontId="10" fillId="13" borderId="137" xfId="0" applyFont="1" applyFill="1" applyBorder="1" applyAlignment="1" applyProtection="1">
      <alignment horizontal="center"/>
      <protection locked="0"/>
    </xf>
    <xf numFmtId="0" fontId="10" fillId="13" borderId="117" xfId="0" applyFont="1" applyFill="1" applyBorder="1" applyAlignment="1" applyProtection="1">
      <alignment horizontal="center"/>
      <protection locked="0"/>
    </xf>
    <xf numFmtId="0" fontId="10" fillId="13" borderId="136" xfId="0" applyFont="1" applyFill="1" applyBorder="1" applyAlignment="1" applyProtection="1">
      <alignment horizontal="center"/>
      <protection locked="0"/>
    </xf>
    <xf numFmtId="0" fontId="10" fillId="14" borderId="14" xfId="0" applyFont="1" applyFill="1" applyBorder="1" applyAlignment="1" applyProtection="1">
      <alignment horizontal="center"/>
      <protection locked="0"/>
    </xf>
    <xf numFmtId="0" fontId="10" fillId="14" borderId="108" xfId="0" applyFont="1" applyFill="1" applyBorder="1" applyAlignment="1" applyProtection="1">
      <alignment horizontal="center"/>
      <protection locked="0"/>
    </xf>
    <xf numFmtId="0" fontId="10" fillId="14" borderId="138" xfId="0" applyFont="1" applyFill="1" applyBorder="1" applyAlignment="1" applyProtection="1">
      <alignment horizontal="center"/>
      <protection locked="0"/>
    </xf>
    <xf numFmtId="0" fontId="10" fillId="13" borderId="17" xfId="0" applyFont="1" applyFill="1" applyBorder="1" applyAlignment="1" applyProtection="1">
      <alignment horizontal="center"/>
      <protection locked="0"/>
    </xf>
    <xf numFmtId="0" fontId="10" fillId="13" borderId="138" xfId="0" applyFont="1" applyFill="1" applyBorder="1" applyAlignment="1" applyProtection="1">
      <alignment horizontal="center"/>
      <protection locked="0"/>
    </xf>
    <xf numFmtId="0" fontId="19" fillId="13" borderId="17" xfId="0" applyFont="1" applyFill="1" applyBorder="1" applyAlignment="1" applyProtection="1">
      <alignment horizontal="center"/>
      <protection locked="0"/>
    </xf>
    <xf numFmtId="0" fontId="19" fillId="13" borderId="138" xfId="0" applyFont="1" applyFill="1" applyBorder="1" applyAlignment="1" applyProtection="1">
      <alignment horizontal="center"/>
      <protection locked="0"/>
    </xf>
    <xf numFmtId="0" fontId="10" fillId="0" borderId="9" xfId="0" applyFont="1" applyBorder="1" applyProtection="1">
      <protection locked="0"/>
    </xf>
    <xf numFmtId="0" fontId="10" fillId="0" borderId="139" xfId="0" applyFont="1" applyBorder="1" applyProtection="1">
      <protection locked="0"/>
    </xf>
    <xf numFmtId="0" fontId="10" fillId="0" borderId="140" xfId="0" applyFont="1" applyBorder="1" applyProtection="1">
      <protection locked="0"/>
    </xf>
    <xf numFmtId="0" fontId="9" fillId="0" borderId="29" xfId="0" applyFont="1" applyBorder="1" applyAlignment="1" applyProtection="1">
      <alignment horizontal="center"/>
      <protection locked="0"/>
    </xf>
    <xf numFmtId="0" fontId="4" fillId="0" borderId="0" xfId="0" applyFont="1" applyFill="1" applyBorder="1" applyAlignment="1">
      <alignment horizontal="center" vertical="center"/>
    </xf>
    <xf numFmtId="0" fontId="13" fillId="9" borderId="129" xfId="0" applyFont="1" applyFill="1" applyBorder="1"/>
    <xf numFmtId="0" fontId="1" fillId="3" borderId="183" xfId="0" applyNumberFormat="1" applyFont="1" applyFill="1" applyBorder="1" applyAlignment="1" applyProtection="1">
      <alignment horizontal="center" vertical="center" shrinkToFit="1"/>
      <protection locked="0"/>
    </xf>
    <xf numFmtId="0" fontId="3" fillId="9" borderId="130" xfId="0" applyFont="1" applyFill="1" applyBorder="1" applyAlignment="1" applyProtection="1">
      <alignment horizontal="center"/>
      <protection locked="0"/>
    </xf>
    <xf numFmtId="0" fontId="10" fillId="0" borderId="0" xfId="0" applyFont="1" applyFill="1" applyAlignment="1" applyProtection="1">
      <alignment horizontal="left"/>
      <protection locked="0"/>
    </xf>
    <xf numFmtId="1" fontId="1" fillId="0" borderId="0" xfId="0" applyNumberFormat="1" applyFont="1" applyFill="1" applyBorder="1" applyAlignment="1">
      <alignment horizontal="center" vertical="center"/>
    </xf>
    <xf numFmtId="0" fontId="9" fillId="5" borderId="0" xfId="0" applyFont="1" applyFill="1" applyBorder="1" applyAlignment="1" applyProtection="1">
      <alignment horizontal="center" vertical="center"/>
      <protection locked="0"/>
    </xf>
    <xf numFmtId="0" fontId="9" fillId="0" borderId="75" xfId="0" applyFont="1" applyBorder="1" applyAlignment="1" applyProtection="1">
      <alignment vertical="center"/>
      <protection locked="0"/>
    </xf>
    <xf numFmtId="0" fontId="9" fillId="5" borderId="167" xfId="0" applyFont="1" applyFill="1" applyBorder="1" applyAlignment="1" applyProtection="1">
      <alignment horizontal="center" vertical="center"/>
      <protection locked="0"/>
    </xf>
    <xf numFmtId="0" fontId="31" fillId="0" borderId="0" xfId="0" applyFont="1" applyBorder="1" applyProtection="1">
      <protection locked="0"/>
    </xf>
    <xf numFmtId="0" fontId="7" fillId="9" borderId="0" xfId="0" applyFont="1" applyFill="1" applyBorder="1"/>
    <xf numFmtId="0" fontId="1" fillId="9" borderId="0" xfId="0" applyFont="1" applyFill="1" applyBorder="1"/>
    <xf numFmtId="0" fontId="1" fillId="9" borderId="0" xfId="0" applyFont="1" applyFill="1" applyBorder="1" applyAlignment="1">
      <alignment horizontal="center"/>
    </xf>
    <xf numFmtId="167" fontId="9" fillId="0" borderId="0" xfId="0" applyNumberFormat="1" applyFont="1" applyFill="1" applyBorder="1" applyAlignment="1" applyProtection="1">
      <alignment horizontal="center"/>
      <protection locked="0"/>
    </xf>
    <xf numFmtId="0" fontId="9" fillId="0" borderId="0" xfId="0" applyFont="1" applyFill="1" applyBorder="1" applyAlignment="1" applyProtection="1">
      <alignment horizontal="left"/>
      <protection locked="0"/>
    </xf>
    <xf numFmtId="0" fontId="9" fillId="0" borderId="0" xfId="0" applyFont="1" applyFill="1" applyBorder="1" applyAlignment="1" applyProtection="1">
      <alignment horizontal="center"/>
      <protection locked="0"/>
    </xf>
    <xf numFmtId="1" fontId="1" fillId="0" borderId="38" xfId="0" applyNumberFormat="1" applyFont="1" applyFill="1" applyBorder="1" applyProtection="1">
      <protection locked="0"/>
    </xf>
    <xf numFmtId="0" fontId="9" fillId="0" borderId="153" xfId="0" applyFont="1" applyFill="1" applyBorder="1" applyAlignment="1" applyProtection="1">
      <alignment horizontal="center"/>
      <protection locked="0"/>
    </xf>
    <xf numFmtId="2" fontId="4" fillId="0" borderId="0" xfId="0" applyNumberFormat="1"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protection locked="0"/>
    </xf>
    <xf numFmtId="0" fontId="9" fillId="0" borderId="76" xfId="0" applyFont="1" applyBorder="1" applyAlignment="1" applyProtection="1">
      <alignment vertical="center"/>
      <protection locked="0"/>
    </xf>
    <xf numFmtId="0" fontId="9" fillId="0" borderId="72" xfId="0" applyFont="1" applyBorder="1" applyAlignment="1" applyProtection="1">
      <alignment vertical="center"/>
      <protection locked="0"/>
    </xf>
    <xf numFmtId="1" fontId="9" fillId="4" borderId="0" xfId="0" applyNumberFormat="1" applyFont="1" applyFill="1" applyBorder="1" applyAlignment="1" applyProtection="1">
      <alignment horizontal="center" vertical="center"/>
      <protection locked="0"/>
    </xf>
    <xf numFmtId="0" fontId="29" fillId="0" borderId="36" xfId="0" applyFont="1" applyFill="1" applyBorder="1" applyAlignment="1" applyProtection="1">
      <alignment horizontal="center"/>
      <protection locked="0"/>
    </xf>
    <xf numFmtId="0" fontId="31" fillId="0" borderId="36" xfId="0" applyFont="1" applyFill="1" applyBorder="1" applyProtection="1">
      <protection locked="0"/>
    </xf>
    <xf numFmtId="0" fontId="1" fillId="2" borderId="36" xfId="0" applyFont="1" applyFill="1" applyBorder="1"/>
    <xf numFmtId="0" fontId="1" fillId="0" borderId="36" xfId="0" applyFont="1" applyBorder="1" applyAlignment="1">
      <alignment vertical="center"/>
    </xf>
    <xf numFmtId="1" fontId="1" fillId="0" borderId="184" xfId="0" applyNumberFormat="1" applyFont="1" applyFill="1" applyBorder="1" applyAlignment="1" applyProtection="1">
      <alignment horizontal="center" vertical="center"/>
    </xf>
    <xf numFmtId="1" fontId="33" fillId="0" borderId="184" xfId="0" applyNumberFormat="1" applyFont="1" applyFill="1" applyBorder="1" applyAlignment="1" applyProtection="1">
      <alignment horizontal="center" vertical="center"/>
    </xf>
    <xf numFmtId="0" fontId="7" fillId="0" borderId="184" xfId="0" applyFont="1" applyFill="1" applyBorder="1" applyAlignment="1" applyProtection="1">
      <alignment horizontal="center" vertical="center"/>
    </xf>
    <xf numFmtId="0" fontId="29" fillId="0" borderId="185" xfId="0" applyFont="1" applyFill="1" applyBorder="1" applyAlignment="1" applyProtection="1">
      <alignment horizontal="center"/>
      <protection locked="0"/>
    </xf>
    <xf numFmtId="0" fontId="1" fillId="0" borderId="31" xfId="0" applyFont="1" applyFill="1" applyBorder="1" applyAlignment="1">
      <alignment vertical="center"/>
    </xf>
    <xf numFmtId="0" fontId="1" fillId="0" borderId="32" xfId="0" applyFont="1" applyFill="1" applyBorder="1" applyAlignment="1">
      <alignment vertical="center"/>
    </xf>
    <xf numFmtId="0" fontId="1" fillId="0" borderId="186" xfId="0" applyFont="1" applyFill="1" applyBorder="1" applyAlignment="1">
      <alignment vertical="center"/>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8" fillId="0" borderId="0" xfId="0" applyFont="1" applyBorder="1" applyAlignment="1">
      <alignment vertical="center"/>
    </xf>
    <xf numFmtId="0" fontId="8" fillId="0" borderId="0" xfId="0" applyFont="1" applyAlignment="1">
      <alignment wrapText="1"/>
    </xf>
    <xf numFmtId="0" fontId="1" fillId="0" borderId="21" xfId="0" applyFont="1" applyBorder="1" applyAlignment="1">
      <alignment vertical="center"/>
    </xf>
    <xf numFmtId="164" fontId="11" fillId="0" borderId="0" xfId="0" applyNumberFormat="1" applyFont="1" applyFill="1" applyBorder="1"/>
    <xf numFmtId="0" fontId="15" fillId="0" borderId="0" xfId="0" applyFont="1" applyFill="1" applyAlignment="1">
      <alignment horizontal="center"/>
    </xf>
    <xf numFmtId="0" fontId="15" fillId="0" borderId="0" xfId="0" applyFont="1" applyFill="1" applyAlignment="1">
      <alignment horizontal="center" vertical="center"/>
    </xf>
    <xf numFmtId="164" fontId="1" fillId="0" borderId="0" xfId="0" applyNumberFormat="1" applyFont="1" applyFill="1"/>
    <xf numFmtId="164" fontId="1" fillId="0" borderId="0" xfId="0" applyNumberFormat="1" applyFont="1" applyFill="1" applyAlignment="1">
      <alignment vertical="center"/>
    </xf>
    <xf numFmtId="164" fontId="39" fillId="0" borderId="0" xfId="0" applyNumberFormat="1" applyFont="1" applyFill="1" applyAlignment="1">
      <alignment vertical="center"/>
    </xf>
    <xf numFmtId="0" fontId="46" fillId="0" borderId="0" xfId="0" applyFont="1" applyFill="1" applyBorder="1" applyAlignment="1">
      <alignment vertical="center"/>
    </xf>
    <xf numFmtId="164" fontId="1" fillId="0" borderId="0" xfId="0" applyNumberFormat="1" applyFont="1" applyFill="1" applyBorder="1" applyAlignment="1">
      <alignment vertical="center"/>
    </xf>
    <xf numFmtId="0" fontId="0" fillId="0" borderId="0" xfId="0" applyFill="1"/>
    <xf numFmtId="1" fontId="0" fillId="0" borderId="0" xfId="0" applyNumberFormat="1" applyFill="1"/>
    <xf numFmtId="0" fontId="0" fillId="17" borderId="62" xfId="0" applyFill="1" applyBorder="1"/>
    <xf numFmtId="0" fontId="45" fillId="11" borderId="0" xfId="0" applyFont="1" applyFill="1"/>
    <xf numFmtId="167" fontId="15" fillId="7" borderId="179" xfId="0" applyNumberFormat="1" applyFont="1" applyFill="1" applyBorder="1" applyAlignment="1" applyProtection="1">
      <alignment horizontal="center" vertical="center"/>
    </xf>
    <xf numFmtId="167" fontId="15" fillId="7" borderId="177" xfId="0" applyNumberFormat="1" applyFont="1" applyFill="1" applyBorder="1" applyAlignment="1" applyProtection="1">
      <alignment horizontal="center" vertical="center"/>
    </xf>
    <xf numFmtId="167" fontId="15" fillId="10" borderId="0" xfId="0" applyNumberFormat="1" applyFont="1" applyFill="1" applyAlignment="1">
      <alignment vertical="center"/>
    </xf>
    <xf numFmtId="0" fontId="9" fillId="0" borderId="0" xfId="1" applyFont="1" applyAlignment="1">
      <alignment vertical="center"/>
    </xf>
    <xf numFmtId="0" fontId="47" fillId="0" borderId="0" xfId="0" applyFont="1" applyFill="1" applyBorder="1" applyAlignment="1"/>
    <xf numFmtId="0" fontId="1" fillId="0" borderId="0" xfId="0" applyFont="1" applyFill="1" applyBorder="1" applyAlignment="1">
      <alignment horizontal="left"/>
    </xf>
    <xf numFmtId="0" fontId="5" fillId="0" borderId="0" xfId="0" applyFont="1" applyAlignment="1">
      <alignment vertical="center"/>
    </xf>
    <xf numFmtId="0" fontId="5" fillId="0" borderId="0" xfId="0" applyFont="1" applyFill="1" applyBorder="1" applyAlignment="1" applyProtection="1"/>
    <xf numFmtId="0" fontId="7" fillId="0" borderId="0" xfId="0" applyFont="1" applyFill="1" applyBorder="1" applyAlignment="1" applyProtection="1"/>
    <xf numFmtId="0" fontId="39" fillId="0" borderId="0" xfId="0" applyFont="1" applyFill="1"/>
    <xf numFmtId="0" fontId="58" fillId="0" borderId="62" xfId="0" applyFont="1" applyFill="1" applyBorder="1" applyAlignment="1" applyProtection="1"/>
    <xf numFmtId="0" fontId="1" fillId="0" borderId="0" xfId="0" applyFont="1" applyFill="1" applyAlignment="1"/>
    <xf numFmtId="0" fontId="1" fillId="0" borderId="0" xfId="0" applyFont="1" applyFill="1" applyBorder="1" applyAlignment="1"/>
    <xf numFmtId="0" fontId="1" fillId="0" borderId="0" xfId="0" applyFont="1" applyAlignment="1"/>
    <xf numFmtId="0" fontId="1" fillId="0" borderId="23" xfId="0" applyFont="1" applyFill="1" applyBorder="1" applyAlignment="1"/>
    <xf numFmtId="1" fontId="1" fillId="5" borderId="23" xfId="0" applyNumberFormat="1" applyFont="1" applyFill="1" applyBorder="1" applyAlignment="1" applyProtection="1">
      <alignment horizontal="left"/>
      <protection locked="0"/>
    </xf>
    <xf numFmtId="1" fontId="1" fillId="5" borderId="0" xfId="0" applyNumberFormat="1" applyFont="1" applyFill="1" applyBorder="1" applyAlignment="1" applyProtection="1">
      <alignment horizontal="left"/>
      <protection locked="0"/>
    </xf>
    <xf numFmtId="1" fontId="1" fillId="5" borderId="24" xfId="0" applyNumberFormat="1" applyFont="1" applyFill="1" applyBorder="1" applyAlignment="1" applyProtection="1">
      <alignment horizontal="left"/>
      <protection locked="0"/>
    </xf>
    <xf numFmtId="0" fontId="1" fillId="0" borderId="0" xfId="0" applyFont="1" applyBorder="1" applyAlignment="1" applyProtection="1">
      <protection locked="0"/>
    </xf>
    <xf numFmtId="0" fontId="1" fillId="0" borderId="24" xfId="0" applyFont="1" applyBorder="1" applyAlignment="1" applyProtection="1">
      <protection locked="0"/>
    </xf>
    <xf numFmtId="0" fontId="1" fillId="0" borderId="0" xfId="0" applyFont="1" applyAlignment="1" applyProtection="1">
      <protection locked="0"/>
    </xf>
    <xf numFmtId="1" fontId="1" fillId="0" borderId="5" xfId="0" applyNumberFormat="1" applyFont="1" applyBorder="1" applyAlignment="1" applyProtection="1">
      <alignment horizontal="left"/>
      <protection locked="0"/>
    </xf>
    <xf numFmtId="164" fontId="1" fillId="5" borderId="5" xfId="0" applyNumberFormat="1" applyFont="1" applyFill="1" applyBorder="1" applyAlignment="1" applyProtection="1">
      <alignment horizontal="center"/>
      <protection locked="0"/>
    </xf>
    <xf numFmtId="166" fontId="1" fillId="5" borderId="5" xfId="0" applyNumberFormat="1" applyFont="1" applyFill="1" applyBorder="1" applyAlignment="1" applyProtection="1">
      <alignment horizontal="center"/>
      <protection locked="0"/>
    </xf>
    <xf numFmtId="0" fontId="1" fillId="0" borderId="23" xfId="0" applyFont="1" applyBorder="1" applyAlignment="1"/>
    <xf numFmtId="0" fontId="1" fillId="0" borderId="0" xfId="0" applyFont="1" applyBorder="1" applyAlignment="1"/>
    <xf numFmtId="0" fontId="8" fillId="0" borderId="0" xfId="0" applyFont="1" applyBorder="1" applyAlignment="1"/>
    <xf numFmtId="0" fontId="8" fillId="0" borderId="24" xfId="0" applyFont="1" applyBorder="1" applyAlignment="1"/>
    <xf numFmtId="0" fontId="4" fillId="0" borderId="0" xfId="0" applyFont="1" applyAlignment="1">
      <alignment vertical="top"/>
    </xf>
    <xf numFmtId="14" fontId="1" fillId="0" borderId="32" xfId="0" applyNumberFormat="1" applyFont="1" applyFill="1" applyBorder="1" applyAlignment="1">
      <alignment vertical="center"/>
    </xf>
    <xf numFmtId="1" fontId="1" fillId="0" borderId="0" xfId="0" applyNumberFormat="1" applyFont="1" applyFill="1" applyBorder="1" applyAlignment="1">
      <alignment horizontal="left" vertical="top"/>
    </xf>
    <xf numFmtId="0" fontId="10" fillId="0" borderId="0" xfId="0" applyFont="1" applyAlignment="1">
      <alignment horizontal="left"/>
    </xf>
    <xf numFmtId="173" fontId="0" fillId="0" borderId="0" xfId="0" applyNumberFormat="1"/>
    <xf numFmtId="0" fontId="0" fillId="0" borderId="0" xfId="0" applyFill="1" applyBorder="1"/>
    <xf numFmtId="0" fontId="3" fillId="0" borderId="0" xfId="0" applyFont="1" applyFill="1" applyBorder="1" applyAlignment="1" applyProtection="1">
      <alignment horizontal="center"/>
      <protection locked="0"/>
    </xf>
    <xf numFmtId="1" fontId="1" fillId="0" borderId="0" xfId="0" applyNumberFormat="1" applyFont="1" applyFill="1" applyAlignment="1" applyProtection="1">
      <alignment horizontal="left" vertical="center"/>
      <protection locked="0"/>
    </xf>
    <xf numFmtId="0" fontId="10" fillId="0" borderId="23" xfId="0" applyFont="1" applyBorder="1"/>
    <xf numFmtId="0" fontId="14" fillId="0" borderId="170" xfId="1" applyFont="1" applyBorder="1"/>
    <xf numFmtId="0" fontId="13" fillId="0" borderId="12" xfId="0" applyFont="1" applyBorder="1" applyAlignment="1">
      <alignment horizontal="center"/>
    </xf>
    <xf numFmtId="0" fontId="9" fillId="0" borderId="188" xfId="1" applyBorder="1" applyAlignment="1">
      <alignment vertical="top"/>
    </xf>
    <xf numFmtId="0" fontId="1" fillId="0" borderId="61" xfId="0" applyFont="1" applyBorder="1" applyProtection="1"/>
    <xf numFmtId="0" fontId="1" fillId="0" borderId="59" xfId="0" applyFont="1" applyBorder="1" applyProtection="1"/>
    <xf numFmtId="0" fontId="1" fillId="0" borderId="53" xfId="0" applyFont="1" applyBorder="1" applyProtection="1"/>
    <xf numFmtId="0" fontId="1" fillId="3" borderId="0" xfId="0" applyNumberFormat="1" applyFont="1" applyFill="1" applyAlignment="1" applyProtection="1">
      <alignment horizontal="center" vertical="center" shrinkToFit="1"/>
      <protection locked="0"/>
    </xf>
    <xf numFmtId="0" fontId="7" fillId="10" borderId="0" xfId="0" applyFont="1" applyFill="1" applyBorder="1"/>
    <xf numFmtId="0" fontId="1" fillId="10" borderId="27" xfId="0" applyFont="1" applyFill="1" applyBorder="1"/>
    <xf numFmtId="0" fontId="0" fillId="10" borderId="27" xfId="0" applyFill="1" applyBorder="1"/>
    <xf numFmtId="1" fontId="1" fillId="3" borderId="2" xfId="0" applyNumberFormat="1" applyFont="1" applyFill="1" applyBorder="1" applyAlignment="1" applyProtection="1">
      <alignment horizontal="center" vertical="center" shrinkToFit="1"/>
      <protection locked="0"/>
    </xf>
    <xf numFmtId="49" fontId="1" fillId="3" borderId="0" xfId="0" applyNumberFormat="1" applyFont="1" applyFill="1" applyAlignment="1" applyProtection="1">
      <alignment horizontal="center" vertical="center" shrinkToFit="1"/>
      <protection locked="0"/>
    </xf>
    <xf numFmtId="1" fontId="1" fillId="3" borderId="94" xfId="0" applyNumberFormat="1" applyFont="1" applyFill="1" applyBorder="1" applyAlignment="1" applyProtection="1">
      <alignment horizontal="center" vertical="center" shrinkToFit="1"/>
      <protection locked="0"/>
    </xf>
    <xf numFmtId="0" fontId="1" fillId="8" borderId="100" xfId="0" applyFont="1" applyFill="1" applyBorder="1" applyAlignment="1" applyProtection="1">
      <alignment horizontal="center" vertical="center" shrinkToFit="1"/>
    </xf>
    <xf numFmtId="167" fontId="1" fillId="3" borderId="100" xfId="0" applyNumberFormat="1" applyFont="1" applyFill="1" applyBorder="1" applyAlignment="1" applyProtection="1">
      <alignment horizontal="center" vertical="center" shrinkToFit="1"/>
      <protection locked="0"/>
    </xf>
    <xf numFmtId="0" fontId="1" fillId="8" borderId="100" xfId="0" applyFont="1" applyFill="1" applyBorder="1" applyAlignment="1" applyProtection="1">
      <alignment vertical="center" shrinkToFit="1"/>
    </xf>
    <xf numFmtId="1" fontId="1" fillId="3" borderId="95" xfId="0" applyNumberFormat="1" applyFont="1" applyFill="1" applyBorder="1" applyAlignment="1" applyProtection="1">
      <alignment horizontal="center" vertical="center" shrinkToFit="1"/>
      <protection locked="0"/>
    </xf>
    <xf numFmtId="0" fontId="1" fillId="8" borderId="101" xfId="0" applyFont="1" applyFill="1" applyBorder="1" applyAlignment="1" applyProtection="1">
      <alignment horizontal="center" vertical="center" shrinkToFit="1"/>
    </xf>
    <xf numFmtId="167" fontId="1" fillId="3" borderId="101" xfId="0" applyNumberFormat="1" applyFont="1" applyFill="1" applyBorder="1" applyAlignment="1" applyProtection="1">
      <alignment horizontal="center" vertical="center" shrinkToFit="1"/>
      <protection locked="0"/>
    </xf>
    <xf numFmtId="0" fontId="1" fillId="8" borderId="101" xfId="0" applyFont="1" applyFill="1" applyBorder="1" applyAlignment="1" applyProtection="1">
      <alignment vertical="center" shrinkToFit="1"/>
    </xf>
    <xf numFmtId="1" fontId="1" fillId="3" borderId="97" xfId="0" applyNumberFormat="1" applyFont="1" applyFill="1" applyBorder="1" applyAlignment="1" applyProtection="1">
      <alignment horizontal="center" vertical="center" shrinkToFit="1"/>
      <protection locked="0"/>
    </xf>
    <xf numFmtId="167" fontId="1" fillId="3" borderId="105" xfId="0" applyNumberFormat="1" applyFont="1" applyFill="1" applyBorder="1" applyAlignment="1" applyProtection="1">
      <alignment horizontal="center" vertical="center" shrinkToFit="1"/>
      <protection locked="0"/>
    </xf>
    <xf numFmtId="1" fontId="1" fillId="3" borderId="98" xfId="0" applyNumberFormat="1" applyFont="1" applyFill="1" applyBorder="1" applyAlignment="1" applyProtection="1">
      <alignment horizontal="center" vertical="center" shrinkToFit="1"/>
      <protection locked="0"/>
    </xf>
    <xf numFmtId="167" fontId="1" fillId="3" borderId="106" xfId="0" applyNumberFormat="1" applyFont="1" applyFill="1" applyBorder="1" applyAlignment="1" applyProtection="1">
      <alignment horizontal="center" vertical="center" shrinkToFit="1"/>
      <protection locked="0"/>
    </xf>
    <xf numFmtId="0" fontId="10" fillId="0" borderId="0" xfId="0" applyFont="1" applyFill="1" applyProtection="1">
      <protection locked="0"/>
    </xf>
    <xf numFmtId="0" fontId="10" fillId="0" borderId="0" xfId="0" applyFont="1" applyFill="1" applyAlignment="1" applyProtection="1">
      <alignment horizontal="center"/>
      <protection locked="0"/>
    </xf>
    <xf numFmtId="173" fontId="0" fillId="0" borderId="0" xfId="0" applyNumberFormat="1" applyFill="1"/>
    <xf numFmtId="0" fontId="34" fillId="0" borderId="0" xfId="0" applyFont="1" applyAlignment="1" applyProtection="1">
      <alignment horizontal="centerContinuous"/>
    </xf>
    <xf numFmtId="0" fontId="1" fillId="0" borderId="0" xfId="0" applyFont="1" applyFill="1" applyAlignment="1">
      <alignment horizontal="centerContinuous"/>
    </xf>
    <xf numFmtId="0" fontId="1" fillId="0" borderId="0" xfId="0" applyFont="1" applyAlignment="1" applyProtection="1">
      <alignment horizontal="centerContinuous"/>
    </xf>
    <xf numFmtId="0" fontId="1" fillId="2" borderId="0" xfId="0" applyFont="1" applyFill="1" applyAlignment="1" applyProtection="1">
      <alignment horizontal="centerContinuous"/>
    </xf>
    <xf numFmtId="0" fontId="1" fillId="3" borderId="0" xfId="0" applyNumberFormat="1" applyFont="1" applyFill="1" applyAlignment="1" applyProtection="1">
      <alignment horizontal="center" vertical="center" shrinkToFit="1"/>
      <protection locked="0"/>
    </xf>
    <xf numFmtId="0" fontId="57" fillId="0" borderId="182" xfId="0" applyFont="1" applyFill="1" applyBorder="1" applyAlignment="1" applyProtection="1">
      <alignment horizontal="center" vertical="center"/>
    </xf>
    <xf numFmtId="0" fontId="57" fillId="0" borderId="187" xfId="0" applyFont="1" applyFill="1" applyBorder="1" applyAlignment="1" applyProtection="1">
      <alignment horizontal="center" vertical="center"/>
    </xf>
    <xf numFmtId="0" fontId="7" fillId="7" borderId="0" xfId="0" applyFont="1" applyFill="1" applyAlignment="1">
      <alignment vertical="center"/>
    </xf>
    <xf numFmtId="0" fontId="47" fillId="0" borderId="0" xfId="0" applyFont="1" applyFill="1" applyBorder="1" applyAlignment="1">
      <alignment horizontal="center"/>
    </xf>
    <xf numFmtId="0" fontId="1" fillId="7" borderId="0" xfId="0" applyFont="1" applyFill="1" applyAlignment="1">
      <alignment horizontal="left" vertical="center"/>
    </xf>
    <xf numFmtId="0" fontId="7" fillId="0" borderId="126" xfId="0" applyFont="1" applyBorder="1" applyAlignment="1" applyProtection="1">
      <alignment horizontal="center"/>
    </xf>
    <xf numFmtId="0" fontId="7" fillId="0" borderId="119" xfId="0" applyFont="1" applyBorder="1" applyAlignment="1" applyProtection="1">
      <alignment horizontal="center"/>
    </xf>
    <xf numFmtId="0" fontId="4" fillId="0" borderId="50" xfId="0" applyFont="1" applyFill="1" applyBorder="1" applyAlignment="1" applyProtection="1">
      <alignment horizontal="center"/>
    </xf>
    <xf numFmtId="0" fontId="4" fillId="0" borderId="58" xfId="0" applyFont="1" applyFill="1" applyBorder="1" applyAlignment="1" applyProtection="1">
      <alignment horizontal="center"/>
    </xf>
    <xf numFmtId="0" fontId="7" fillId="0" borderId="51" xfId="0" applyFont="1" applyFill="1" applyBorder="1" applyAlignment="1" applyProtection="1">
      <alignment horizontal="center"/>
    </xf>
    <xf numFmtId="0" fontId="7" fillId="0" borderId="21" xfId="0" applyFont="1" applyFill="1" applyBorder="1" applyAlignment="1" applyProtection="1">
      <alignment horizontal="center"/>
    </xf>
    <xf numFmtId="0" fontId="7" fillId="0" borderId="27" xfId="0" applyFont="1" applyFill="1" applyBorder="1" applyAlignment="1" applyProtection="1">
      <alignment horizontal="center"/>
    </xf>
    <xf numFmtId="0" fontId="7" fillId="0" borderId="22" xfId="0" applyFont="1" applyFill="1" applyBorder="1" applyAlignment="1" applyProtection="1">
      <alignment horizontal="center"/>
    </xf>
    <xf numFmtId="0" fontId="1" fillId="0" borderId="23" xfId="0" applyFont="1" applyBorder="1" applyAlignment="1" applyProtection="1">
      <alignment horizontal="center"/>
    </xf>
    <xf numFmtId="0" fontId="1" fillId="0" borderId="0" xfId="0" applyFont="1" applyBorder="1" applyAlignment="1" applyProtection="1">
      <alignment horizontal="center"/>
    </xf>
    <xf numFmtId="0" fontId="1" fillId="0" borderId="153" xfId="0" applyFont="1" applyFill="1" applyBorder="1" applyAlignment="1" applyProtection="1">
      <alignment horizontal="center"/>
    </xf>
    <xf numFmtId="0" fontId="1" fillId="0" borderId="42" xfId="0" applyFont="1" applyFill="1" applyBorder="1" applyAlignment="1" applyProtection="1">
      <alignment horizontal="center"/>
    </xf>
    <xf numFmtId="0" fontId="1" fillId="0" borderId="154" xfId="0" applyFont="1" applyFill="1" applyBorder="1" applyAlignment="1" applyProtection="1">
      <alignment horizontal="center"/>
    </xf>
    <xf numFmtId="0" fontId="1" fillId="0" borderId="149" xfId="0" applyFont="1" applyFill="1" applyBorder="1" applyAlignment="1" applyProtection="1">
      <alignment horizontal="center"/>
    </xf>
    <xf numFmtId="0" fontId="4" fillId="0" borderId="68" xfId="0" applyFont="1" applyFill="1" applyBorder="1" applyAlignment="1" applyProtection="1">
      <alignment horizontal="center"/>
    </xf>
    <xf numFmtId="0" fontId="4" fillId="0" borderId="64" xfId="0" applyFont="1" applyFill="1" applyBorder="1" applyAlignment="1" applyProtection="1">
      <alignment horizontal="center"/>
    </xf>
    <xf numFmtId="0" fontId="4" fillId="0" borderId="65" xfId="0" applyFont="1" applyFill="1" applyBorder="1" applyAlignment="1" applyProtection="1">
      <alignment horizontal="center"/>
    </xf>
    <xf numFmtId="49" fontId="1" fillId="0" borderId="112" xfId="0" applyNumberFormat="1" applyFont="1" applyBorder="1" applyAlignment="1" applyProtection="1">
      <alignment horizontal="center" vertical="center"/>
    </xf>
    <xf numFmtId="49" fontId="1" fillId="0" borderId="113" xfId="0" applyNumberFormat="1" applyFont="1" applyBorder="1" applyAlignment="1" applyProtection="1">
      <alignment horizontal="center" vertical="center"/>
    </xf>
    <xf numFmtId="169" fontId="1" fillId="0" borderId="162" xfId="0" applyNumberFormat="1" applyFont="1" applyFill="1" applyBorder="1" applyAlignment="1" applyProtection="1">
      <alignment horizontal="center"/>
    </xf>
    <xf numFmtId="169" fontId="1" fillId="0" borderId="163" xfId="0" applyNumberFormat="1" applyFont="1" applyFill="1" applyBorder="1" applyAlignment="1" applyProtection="1">
      <alignment horizontal="center"/>
    </xf>
    <xf numFmtId="169" fontId="1" fillId="0" borderId="60" xfId="0" applyNumberFormat="1" applyFont="1" applyFill="1" applyBorder="1" applyAlignment="1" applyProtection="1">
      <alignment horizontal="center"/>
    </xf>
    <xf numFmtId="169" fontId="1" fillId="0" borderId="43" xfId="0" applyNumberFormat="1" applyFont="1" applyFill="1" applyBorder="1" applyAlignment="1" applyProtection="1">
      <alignment horizontal="center"/>
    </xf>
    <xf numFmtId="0" fontId="1" fillId="2" borderId="0" xfId="0" applyFont="1" applyFill="1" applyAlignment="1">
      <alignment horizontal="left" vertical="center"/>
    </xf>
    <xf numFmtId="0" fontId="7" fillId="7" borderId="0" xfId="0" applyFont="1" applyFill="1" applyBorder="1" applyAlignment="1">
      <alignment horizontal="center" vertical="center"/>
    </xf>
    <xf numFmtId="1" fontId="7" fillId="7" borderId="0" xfId="0" applyNumberFormat="1" applyFont="1" applyFill="1" applyBorder="1" applyAlignment="1" applyProtection="1">
      <alignment horizontal="center" vertical="center"/>
    </xf>
    <xf numFmtId="0" fontId="4" fillId="7" borderId="1" xfId="0" applyFont="1" applyFill="1" applyBorder="1" applyAlignment="1">
      <alignment horizontal="center" vertical="center"/>
    </xf>
    <xf numFmtId="0" fontId="1" fillId="6" borderId="0" xfId="0" applyFont="1" applyFill="1" applyAlignment="1">
      <alignment horizontal="left" vertical="center"/>
    </xf>
    <xf numFmtId="0" fontId="1" fillId="8" borderId="102" xfId="0" applyFont="1" applyFill="1" applyBorder="1" applyAlignment="1" applyProtection="1">
      <alignment horizontal="center" vertical="center" shrinkToFit="1"/>
    </xf>
    <xf numFmtId="0" fontId="1" fillId="8" borderId="99" xfId="0" applyFont="1" applyFill="1" applyBorder="1" applyAlignment="1" applyProtection="1">
      <alignment horizontal="center" vertical="center" shrinkToFit="1"/>
    </xf>
    <xf numFmtId="167" fontId="1" fillId="3" borderId="102" xfId="0" applyNumberFormat="1" applyFont="1" applyFill="1" applyBorder="1" applyAlignment="1" applyProtection="1">
      <alignment horizontal="center" vertical="center" shrinkToFit="1"/>
      <protection locked="0"/>
    </xf>
    <xf numFmtId="167" fontId="1" fillId="3" borderId="99" xfId="0" applyNumberFormat="1" applyFont="1" applyFill="1" applyBorder="1" applyAlignment="1" applyProtection="1">
      <alignment horizontal="center" vertical="center" shrinkToFit="1"/>
      <protection locked="0"/>
    </xf>
    <xf numFmtId="167" fontId="1" fillId="7" borderId="0" xfId="0" applyNumberFormat="1" applyFont="1" applyFill="1" applyBorder="1" applyAlignment="1">
      <alignment horizontal="center" vertical="center"/>
    </xf>
    <xf numFmtId="167" fontId="1" fillId="7" borderId="91" xfId="0" applyNumberFormat="1" applyFont="1" applyFill="1" applyBorder="1" applyAlignment="1">
      <alignment horizontal="center" vertical="center"/>
    </xf>
    <xf numFmtId="167" fontId="1" fillId="7" borderId="92" xfId="0" applyNumberFormat="1" applyFont="1" applyFill="1" applyBorder="1" applyAlignment="1">
      <alignment horizontal="center" vertical="center"/>
    </xf>
    <xf numFmtId="49" fontId="1" fillId="3" borderId="1" xfId="0" applyNumberFormat="1" applyFont="1" applyFill="1" applyBorder="1" applyAlignment="1" applyProtection="1">
      <alignment horizontal="left" vertical="center" shrinkToFit="1"/>
      <protection locked="0"/>
    </xf>
    <xf numFmtId="49" fontId="1" fillId="3" borderId="2" xfId="0" applyNumberFormat="1" applyFont="1" applyFill="1" applyBorder="1" applyAlignment="1" applyProtection="1">
      <alignment horizontal="left" vertical="center" shrinkToFit="1"/>
      <protection locked="0"/>
    </xf>
    <xf numFmtId="49" fontId="1" fillId="3" borderId="27" xfId="0" applyNumberFormat="1" applyFont="1" applyFill="1" applyBorder="1" applyAlignment="1" applyProtection="1">
      <alignment horizontal="left" vertical="center" shrinkToFit="1"/>
      <protection locked="0"/>
    </xf>
    <xf numFmtId="1" fontId="1" fillId="3" borderId="96" xfId="0" applyNumberFormat="1" applyFont="1" applyFill="1" applyBorder="1" applyAlignment="1" applyProtection="1">
      <alignment horizontal="center" vertical="center" shrinkToFit="1"/>
      <protection locked="0"/>
    </xf>
    <xf numFmtId="1" fontId="1" fillId="3" borderId="93" xfId="0" applyNumberFormat="1" applyFont="1" applyFill="1" applyBorder="1" applyAlignment="1" applyProtection="1">
      <alignment horizontal="center" vertical="center" shrinkToFit="1"/>
      <protection locked="0"/>
    </xf>
    <xf numFmtId="169" fontId="1" fillId="0" borderId="124" xfId="0" applyNumberFormat="1" applyFont="1" applyFill="1" applyBorder="1" applyAlignment="1" applyProtection="1">
      <alignment horizontal="center"/>
    </xf>
    <xf numFmtId="169" fontId="1" fillId="0" borderId="66" xfId="0" applyNumberFormat="1" applyFont="1" applyFill="1" applyBorder="1" applyAlignment="1" applyProtection="1">
      <alignment horizontal="center"/>
    </xf>
    <xf numFmtId="1" fontId="1" fillId="0" borderId="0" xfId="0" applyNumberFormat="1" applyFont="1" applyFill="1" applyBorder="1" applyAlignment="1">
      <alignment horizontal="center" vertical="center"/>
    </xf>
    <xf numFmtId="169" fontId="1" fillId="0" borderId="157" xfId="0" applyNumberFormat="1" applyFont="1" applyFill="1" applyBorder="1" applyAlignment="1" applyProtection="1">
      <alignment horizontal="center"/>
    </xf>
    <xf numFmtId="169" fontId="1" fillId="0" borderId="161" xfId="0" applyNumberFormat="1" applyFont="1" applyFill="1" applyBorder="1" applyAlignment="1" applyProtection="1">
      <alignment horizontal="center"/>
    </xf>
    <xf numFmtId="167" fontId="15" fillId="7" borderId="88" xfId="0" applyNumberFormat="1" applyFont="1" applyFill="1" applyBorder="1" applyAlignment="1">
      <alignment horizontal="center" vertical="center"/>
    </xf>
    <xf numFmtId="167" fontId="15" fillId="7" borderId="89" xfId="0" applyNumberFormat="1" applyFont="1" applyFill="1" applyBorder="1" applyAlignment="1">
      <alignment horizontal="center" vertical="center"/>
    </xf>
    <xf numFmtId="169" fontId="1" fillId="0" borderId="61" xfId="0" applyNumberFormat="1" applyFont="1" applyFill="1" applyBorder="1" applyAlignment="1" applyProtection="1">
      <alignment horizontal="center"/>
    </xf>
    <xf numFmtId="169" fontId="1" fillId="0" borderId="69" xfId="0" applyNumberFormat="1" applyFont="1" applyFill="1" applyBorder="1" applyAlignment="1" applyProtection="1">
      <alignment horizontal="center"/>
    </xf>
    <xf numFmtId="167" fontId="1" fillId="7" borderId="88" xfId="0" applyNumberFormat="1" applyFont="1" applyFill="1" applyBorder="1" applyAlignment="1">
      <alignment horizontal="center" vertical="center"/>
    </xf>
    <xf numFmtId="167" fontId="1" fillId="7" borderId="89" xfId="0" applyNumberFormat="1" applyFont="1" applyFill="1" applyBorder="1" applyAlignment="1">
      <alignment horizontal="center" vertical="center"/>
    </xf>
    <xf numFmtId="167" fontId="15" fillId="7" borderId="91" xfId="0" applyNumberFormat="1" applyFont="1" applyFill="1" applyBorder="1" applyAlignment="1">
      <alignment horizontal="center" vertical="center"/>
    </xf>
    <xf numFmtId="167" fontId="15" fillId="7" borderId="92" xfId="0" applyNumberFormat="1" applyFont="1" applyFill="1" applyBorder="1" applyAlignment="1">
      <alignment horizontal="center" vertical="center"/>
    </xf>
    <xf numFmtId="0" fontId="1" fillId="7" borderId="87" xfId="0" applyFont="1" applyFill="1" applyBorder="1" applyAlignment="1">
      <alignment horizontal="left" vertical="center"/>
    </xf>
    <xf numFmtId="0" fontId="1" fillId="7" borderId="88" xfId="0" applyFont="1" applyFill="1" applyBorder="1" applyAlignment="1">
      <alignment horizontal="left" vertical="center"/>
    </xf>
    <xf numFmtId="1" fontId="7" fillId="0" borderId="133" xfId="0" applyNumberFormat="1" applyFont="1" applyBorder="1" applyAlignment="1" applyProtection="1">
      <alignment horizontal="center"/>
    </xf>
    <xf numFmtId="1" fontId="7" fillId="0" borderId="134" xfId="0" applyNumberFormat="1" applyFont="1" applyBorder="1" applyAlignment="1" applyProtection="1">
      <alignment horizontal="center"/>
    </xf>
    <xf numFmtId="1" fontId="1" fillId="0" borderId="71" xfId="0" applyNumberFormat="1" applyFont="1" applyBorder="1" applyAlignment="1" applyProtection="1">
      <alignment horizontal="center"/>
    </xf>
    <xf numFmtId="1" fontId="1" fillId="0" borderId="118" xfId="0" applyNumberFormat="1" applyFont="1" applyBorder="1" applyAlignment="1" applyProtection="1">
      <alignment horizontal="center"/>
    </xf>
    <xf numFmtId="0" fontId="12" fillId="0" borderId="0" xfId="0" applyFont="1" applyFill="1" applyBorder="1" applyAlignment="1">
      <alignment horizontal="center" vertical="center"/>
    </xf>
    <xf numFmtId="49" fontId="1" fillId="0" borderId="0" xfId="0" applyNumberFormat="1" applyFont="1" applyFill="1" applyBorder="1" applyAlignment="1">
      <alignment horizontal="center"/>
    </xf>
    <xf numFmtId="0" fontId="1" fillId="10" borderId="0" xfId="0" applyFont="1" applyFill="1" applyAlignment="1">
      <alignment horizontal="left" vertical="center"/>
    </xf>
    <xf numFmtId="1" fontId="1" fillId="0" borderId="0" xfId="0" applyNumberFormat="1" applyFont="1" applyFill="1" applyBorder="1" applyAlignment="1" applyProtection="1">
      <alignment horizontal="center" vertical="center"/>
    </xf>
    <xf numFmtId="1" fontId="1" fillId="0" borderId="40" xfId="0" applyNumberFormat="1" applyFont="1" applyFill="1" applyBorder="1" applyAlignment="1" applyProtection="1">
      <alignment horizontal="center" vertical="center"/>
    </xf>
    <xf numFmtId="1" fontId="25" fillId="7" borderId="0" xfId="0" applyNumberFormat="1" applyFont="1" applyFill="1" applyBorder="1" applyAlignment="1">
      <alignment horizontal="center" vertical="top"/>
    </xf>
    <xf numFmtId="0" fontId="7" fillId="7" borderId="0" xfId="0" applyFont="1" applyFill="1" applyAlignment="1" applyProtection="1">
      <alignment horizontal="left" vertical="center"/>
    </xf>
    <xf numFmtId="169" fontId="1" fillId="0" borderId="59" xfId="0" applyNumberFormat="1" applyFont="1" applyFill="1" applyBorder="1" applyAlignment="1" applyProtection="1">
      <alignment horizontal="center"/>
    </xf>
    <xf numFmtId="169" fontId="1" fillId="0" borderId="47" xfId="0" applyNumberFormat="1" applyFont="1" applyFill="1" applyBorder="1" applyAlignment="1" applyProtection="1">
      <alignment horizontal="center"/>
    </xf>
    <xf numFmtId="0" fontId="1" fillId="0" borderId="153" xfId="0" applyFont="1" applyBorder="1" applyAlignment="1" applyProtection="1">
      <alignment horizontal="center"/>
    </xf>
    <xf numFmtId="0" fontId="1" fillId="0" borderId="51" xfId="0" applyFont="1" applyBorder="1" applyAlignment="1" applyProtection="1">
      <alignment horizontal="center"/>
    </xf>
    <xf numFmtId="1" fontId="7" fillId="0" borderId="10" xfId="0" applyNumberFormat="1" applyFont="1" applyFill="1" applyBorder="1" applyAlignment="1" applyProtection="1">
      <alignment horizontal="center" vertical="center"/>
    </xf>
    <xf numFmtId="1" fontId="7" fillId="0" borderId="136" xfId="0" applyNumberFormat="1" applyFont="1" applyFill="1" applyBorder="1" applyAlignment="1" applyProtection="1">
      <alignment horizontal="center" vertical="center"/>
    </xf>
    <xf numFmtId="0" fontId="1" fillId="0" borderId="110" xfId="0" applyFont="1" applyBorder="1" applyAlignment="1">
      <alignment horizontal="center" vertical="center"/>
    </xf>
    <xf numFmtId="0" fontId="1" fillId="0" borderId="111" xfId="0" applyFont="1" applyBorder="1" applyAlignment="1">
      <alignment horizontal="center" vertical="center"/>
    </xf>
    <xf numFmtId="0" fontId="1" fillId="0" borderId="166" xfId="0" applyFont="1" applyBorder="1" applyAlignment="1">
      <alignment horizontal="center" vertical="center"/>
    </xf>
    <xf numFmtId="0" fontId="7" fillId="0" borderId="132"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49" fontId="1" fillId="0" borderId="6"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12" borderId="5" xfId="0" applyNumberFormat="1" applyFont="1" applyFill="1" applyBorder="1" applyAlignment="1" applyProtection="1">
      <alignment horizontal="center" vertical="center"/>
    </xf>
    <xf numFmtId="1" fontId="1" fillId="12" borderId="117" xfId="0" applyNumberFormat="1" applyFont="1" applyFill="1" applyBorder="1" applyAlignment="1" applyProtection="1">
      <alignment horizontal="center" vertical="center"/>
    </xf>
    <xf numFmtId="0" fontId="10" fillId="0" borderId="0"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19" fillId="13" borderId="17" xfId="0" applyFont="1" applyFill="1" applyBorder="1" applyAlignment="1" applyProtection="1">
      <alignment horizontal="center"/>
      <protection locked="0"/>
    </xf>
    <xf numFmtId="0" fontId="19" fillId="13" borderId="0" xfId="0" applyFont="1" applyFill="1" applyAlignment="1" applyProtection="1">
      <alignment horizontal="center"/>
      <protection locked="0"/>
    </xf>
    <xf numFmtId="0" fontId="19" fillId="13" borderId="12" xfId="0" applyFont="1" applyFill="1" applyBorder="1" applyAlignment="1" applyProtection="1">
      <alignment horizontal="center"/>
      <protection locked="0"/>
    </xf>
    <xf numFmtId="0" fontId="10" fillId="13" borderId="17" xfId="0" applyFont="1" applyFill="1" applyBorder="1" applyAlignment="1" applyProtection="1">
      <alignment horizontal="center"/>
      <protection locked="0"/>
    </xf>
    <xf numFmtId="0" fontId="10" fillId="13" borderId="0" xfId="0" applyFont="1" applyFill="1" applyAlignment="1" applyProtection="1">
      <alignment horizontal="center"/>
      <protection locked="0"/>
    </xf>
    <xf numFmtId="0" fontId="10" fillId="13" borderId="12" xfId="0" applyFont="1" applyFill="1" applyBorder="1" applyAlignment="1" applyProtection="1">
      <alignment horizontal="center"/>
      <protection locked="0"/>
    </xf>
    <xf numFmtId="0" fontId="10" fillId="13" borderId="25" xfId="0" applyFont="1" applyFill="1" applyBorder="1" applyAlignment="1" applyProtection="1">
      <alignment horizontal="center"/>
      <protection locked="0"/>
    </xf>
    <xf numFmtId="0" fontId="10" fillId="13" borderId="1" xfId="0" applyFont="1" applyFill="1" applyBorder="1" applyAlignment="1" applyProtection="1">
      <alignment horizontal="center"/>
      <protection locked="0"/>
    </xf>
    <xf numFmtId="0" fontId="10" fillId="13" borderId="26" xfId="0" applyFont="1" applyFill="1" applyBorder="1" applyAlignment="1" applyProtection="1">
      <alignment horizontal="center"/>
      <protection locked="0"/>
    </xf>
    <xf numFmtId="0" fontId="10" fillId="13" borderId="14" xfId="0" applyFont="1" applyFill="1" applyBorder="1" applyAlignment="1" applyProtection="1">
      <alignment horizontal="center"/>
      <protection locked="0"/>
    </xf>
    <xf numFmtId="0" fontId="10" fillId="13" borderId="108" xfId="0" applyFont="1" applyFill="1" applyBorder="1" applyAlignment="1" applyProtection="1">
      <alignment horizontal="center"/>
      <protection locked="0"/>
    </xf>
    <xf numFmtId="0" fontId="10" fillId="13" borderId="128" xfId="0" applyFont="1" applyFill="1" applyBorder="1" applyAlignment="1" applyProtection="1">
      <alignment horizontal="center"/>
      <protection locked="0"/>
    </xf>
    <xf numFmtId="0" fontId="10" fillId="14" borderId="0" xfId="0" applyFont="1" applyFill="1" applyAlignment="1" applyProtection="1">
      <alignment horizontal="center"/>
      <protection locked="0"/>
    </xf>
    <xf numFmtId="0" fontId="19" fillId="13" borderId="18" xfId="0" applyFont="1" applyFill="1" applyBorder="1" applyAlignment="1" applyProtection="1">
      <alignment horizontal="center"/>
      <protection locked="0"/>
    </xf>
    <xf numFmtId="0" fontId="19" fillId="13" borderId="107" xfId="0" applyFont="1" applyFill="1" applyBorder="1" applyAlignment="1" applyProtection="1">
      <alignment horizontal="center"/>
      <protection locked="0"/>
    </xf>
    <xf numFmtId="0" fontId="19" fillId="13" borderId="137" xfId="0" applyFont="1" applyFill="1" applyBorder="1" applyAlignment="1" applyProtection="1">
      <alignment horizontal="center"/>
      <protection locked="0"/>
    </xf>
    <xf numFmtId="0" fontId="10" fillId="13" borderId="21" xfId="0" applyFont="1" applyFill="1" applyBorder="1" applyAlignment="1" applyProtection="1">
      <alignment horizontal="center"/>
      <protection locked="0"/>
    </xf>
    <xf numFmtId="0" fontId="10" fillId="13" borderId="27" xfId="0" applyFont="1" applyFill="1" applyBorder="1" applyAlignment="1" applyProtection="1">
      <alignment horizontal="center"/>
      <protection locked="0"/>
    </xf>
    <xf numFmtId="0" fontId="10" fillId="13" borderId="22" xfId="0" applyFont="1" applyFill="1" applyBorder="1" applyAlignment="1" applyProtection="1">
      <alignment horizontal="center"/>
      <protection locked="0"/>
    </xf>
    <xf numFmtId="0" fontId="10" fillId="0" borderId="14" xfId="0" applyFont="1" applyBorder="1" applyAlignment="1" applyProtection="1">
      <alignment horizontal="center"/>
      <protection locked="0"/>
    </xf>
    <xf numFmtId="0" fontId="10" fillId="0" borderId="108" xfId="0" applyFont="1" applyBorder="1" applyAlignment="1" applyProtection="1">
      <alignment horizontal="center"/>
      <protection locked="0"/>
    </xf>
    <xf numFmtId="0" fontId="10" fillId="0" borderId="138" xfId="0" applyFont="1" applyBorder="1" applyAlignment="1" applyProtection="1">
      <alignment horizontal="center"/>
      <protection locked="0"/>
    </xf>
    <xf numFmtId="0" fontId="10" fillId="0" borderId="110" xfId="0" applyFont="1" applyBorder="1" applyAlignment="1">
      <alignment horizontal="center" vertical="center"/>
    </xf>
    <xf numFmtId="0" fontId="10" fillId="0" borderId="17" xfId="0" applyFont="1" applyBorder="1" applyAlignment="1">
      <alignment horizontal="center" vertical="center"/>
    </xf>
    <xf numFmtId="0" fontId="10" fillId="0" borderId="132" xfId="0" applyFont="1" applyBorder="1" applyAlignment="1">
      <alignment horizontal="center" vertical="center"/>
    </xf>
    <xf numFmtId="0" fontId="10" fillId="0" borderId="114" xfId="0" applyFont="1" applyBorder="1" applyAlignment="1">
      <alignment horizontal="center" vertical="center"/>
    </xf>
    <xf numFmtId="0" fontId="10" fillId="0" borderId="108" xfId="0" applyFont="1" applyBorder="1" applyAlignment="1">
      <alignment horizontal="center" vertical="center"/>
    </xf>
    <xf numFmtId="0" fontId="10" fillId="0" borderId="139" xfId="0" applyFont="1" applyBorder="1" applyAlignment="1">
      <alignment horizontal="center" vertical="center"/>
    </xf>
    <xf numFmtId="1" fontId="1" fillId="0" borderId="21" xfId="0" applyNumberFormat="1" applyFont="1" applyFill="1" applyBorder="1" applyAlignment="1" applyProtection="1">
      <alignment horizontal="center" vertical="center"/>
    </xf>
    <xf numFmtId="1" fontId="1" fillId="0" borderId="22" xfId="0" applyNumberFormat="1" applyFont="1" applyFill="1" applyBorder="1" applyAlignment="1" applyProtection="1">
      <alignment horizontal="center" vertical="center"/>
    </xf>
    <xf numFmtId="1" fontId="1" fillId="0" borderId="25" xfId="0" applyNumberFormat="1" applyFont="1" applyFill="1" applyBorder="1" applyAlignment="1" applyProtection="1">
      <alignment horizontal="center" vertical="center"/>
    </xf>
    <xf numFmtId="1" fontId="1" fillId="0" borderId="26" xfId="0" applyNumberFormat="1" applyFont="1" applyFill="1" applyBorder="1" applyAlignment="1" applyProtection="1">
      <alignment horizontal="center" vertical="center"/>
    </xf>
  </cellXfs>
  <cellStyles count="5">
    <cellStyle name="Komma 2" xfId="3" xr:uid="{727892DD-F6A2-48F2-80E4-6D2EF009E251}"/>
    <cellStyle name="Prozent" xfId="4" builtinId="5"/>
    <cellStyle name="Standard" xfId="0" builtinId="0"/>
    <cellStyle name="Standard 3" xfId="1" xr:uid="{14188382-8645-469A-B627-67CBFE57641C}"/>
    <cellStyle name="Standard 4 4" xfId="2" xr:uid="{42611B0D-36FF-433F-961D-83DC3EF019BB}"/>
  </cellStyles>
  <dxfs count="10">
    <dxf>
      <fill>
        <patternFill patternType="lightDown"/>
      </fill>
    </dxf>
    <dxf>
      <fill>
        <patternFill>
          <bgColor theme="4" tint="0.79998168889431442"/>
        </patternFill>
      </fill>
    </dxf>
    <dxf>
      <fill>
        <patternFill patternType="lightDown"/>
      </fill>
    </dxf>
    <dxf>
      <fill>
        <patternFill>
          <bgColor theme="7" tint="-0.24994659260841701"/>
        </patternFill>
      </fill>
    </dxf>
    <dxf>
      <fill>
        <patternFill>
          <bgColor theme="7" tint="0.39994506668294322"/>
        </patternFill>
      </fill>
    </dxf>
    <dxf>
      <fill>
        <patternFill>
          <bgColor theme="7" tint="0.59996337778862885"/>
        </patternFill>
      </fill>
    </dxf>
    <dxf>
      <fill>
        <patternFill>
          <bgColor theme="7" tint="0.79998168889431442"/>
        </patternFill>
      </fill>
    </dxf>
    <dxf>
      <font>
        <color auto="1"/>
      </font>
      <fill>
        <patternFill patternType="solid">
          <fgColor rgb="FFFF0000"/>
          <bgColor rgb="FFFF5050"/>
        </patternFill>
      </fill>
    </dxf>
    <dxf>
      <fill>
        <patternFill patternType="lightDown"/>
      </fill>
    </dxf>
    <dxf>
      <fill>
        <patternFill patternType="lightDown"/>
      </fill>
    </dxf>
  </dxfs>
  <tableStyles count="0" defaultTableStyle="TableStyleMedium2" defaultPivotStyle="PivotStyleLight16"/>
  <colors>
    <mruColors>
      <color rgb="FFEA36AA"/>
      <color rgb="FFFF5050"/>
      <color rgb="FFFF3300"/>
      <color rgb="FFFFCC66"/>
      <color rgb="FFFF7C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51434828559926E-2"/>
          <c:y val="0.10669434763277541"/>
          <c:w val="0.93876439488794283"/>
          <c:h val="0.64819284884471406"/>
        </c:manualLayout>
      </c:layout>
      <c:areaChart>
        <c:grouping val="standard"/>
        <c:varyColors val="0"/>
        <c:ser>
          <c:idx val="6"/>
          <c:order val="0"/>
          <c:tx>
            <c:v>Saat</c:v>
          </c:tx>
          <c:spPr>
            <a:pattFill prst="pct25">
              <a:fgClr>
                <a:schemeClr val="bg2">
                  <a:lumMod val="90000"/>
                </a:schemeClr>
              </a:fgClr>
              <a:bgClr>
                <a:schemeClr val="bg1"/>
              </a:bgClr>
            </a:pattFill>
            <a:ln w="25400">
              <a:noFill/>
            </a:ln>
            <a:effectLst/>
          </c:spPr>
          <c:dLbls>
            <c:dLbl>
              <c:idx val="0"/>
              <c:tx>
                <c:rich>
                  <a:bodyPr/>
                  <a:lstStyle/>
                  <a:p>
                    <a:fld id="{2D08D005-A3E6-4809-8A0F-323F15CB4A28}" type="CELLRANGE">
                      <a:rPr lang="en-US"/>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87F-42B0-9456-1ACC133460DA}"/>
                </c:ext>
              </c:extLst>
            </c:dLbl>
            <c:dLbl>
              <c:idx val="1"/>
              <c:layout>
                <c:manualLayout>
                  <c:x val="-1.0643330675294189E-3"/>
                  <c:y val="-0.33941625579454315"/>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fld id="{66A44E4B-A4E1-4C15-BDC3-007BA33D281B}" type="CELLRANGE">
                      <a:rPr lang="en-US"/>
                      <a:pPr>
                        <a:defRPr b="1"/>
                      </a:pPr>
                      <a:t>[ZELLBEREICH]</a:t>
                    </a:fld>
                    <a:endParaRPr lang="de-DE"/>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87F-42B0-9456-1ACC133460DA}"/>
                </c:ext>
              </c:extLst>
            </c:dLbl>
            <c:dLbl>
              <c:idx val="2"/>
              <c:tx>
                <c:rich>
                  <a:bodyPr/>
                  <a:lstStyle/>
                  <a:p>
                    <a:fld id="{FDF39A0B-812A-4A45-B424-B35D108FD98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7F-42B0-9456-1ACC133460DA}"/>
                </c:ext>
              </c:extLst>
            </c:dLbl>
            <c:dLbl>
              <c:idx val="3"/>
              <c:tx>
                <c:rich>
                  <a:bodyPr/>
                  <a:lstStyle/>
                  <a:p>
                    <a:fld id="{EF928398-D7B2-4D8F-A346-6F17514874F5}"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7F-42B0-9456-1ACC133460DA}"/>
                </c:ext>
              </c:extLst>
            </c:dLbl>
            <c:dLbl>
              <c:idx val="4"/>
              <c:tx>
                <c:rich>
                  <a:bodyPr/>
                  <a:lstStyle/>
                  <a:p>
                    <a:fld id="{2D7217CB-A262-41C0-966F-7B1F37C2D87B}"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7F-42B0-9456-1ACC133460DA}"/>
                </c:ext>
              </c:extLst>
            </c:dLbl>
            <c:dLbl>
              <c:idx val="5"/>
              <c:tx>
                <c:rich>
                  <a:bodyPr/>
                  <a:lstStyle/>
                  <a:p>
                    <a:fld id="{D7CED4A8-E54C-4557-8F30-24409F6C2421}"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7F-42B0-9456-1ACC133460DA}"/>
                </c:ext>
              </c:extLst>
            </c:dLbl>
            <c:dLbl>
              <c:idx val="6"/>
              <c:tx>
                <c:rich>
                  <a:bodyPr/>
                  <a:lstStyle/>
                  <a:p>
                    <a:fld id="{ACB4794C-E2F4-4527-A5A0-CE782692003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7F-42B0-9456-1ACC133460DA}"/>
                </c:ext>
              </c:extLst>
            </c:dLbl>
            <c:dLbl>
              <c:idx val="7"/>
              <c:tx>
                <c:rich>
                  <a:bodyPr/>
                  <a:lstStyle/>
                  <a:p>
                    <a:fld id="{1BE7CE76-67E7-4C90-BBFA-0982BECD5875}"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7F-42B0-9456-1ACC133460DA}"/>
                </c:ext>
              </c:extLst>
            </c:dLbl>
            <c:dLbl>
              <c:idx val="8"/>
              <c:tx>
                <c:rich>
                  <a:bodyPr/>
                  <a:lstStyle/>
                  <a:p>
                    <a:fld id="{E807E85F-6C3A-4248-8197-89DBD2534ADC}"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7F-42B0-9456-1ACC133460DA}"/>
                </c:ext>
              </c:extLst>
            </c:dLbl>
            <c:dLbl>
              <c:idx val="9"/>
              <c:tx>
                <c:rich>
                  <a:bodyPr/>
                  <a:lstStyle/>
                  <a:p>
                    <a:fld id="{7B81D2D5-2DC8-43E4-A9E3-4112480BBB7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7F-42B0-9456-1ACC133460DA}"/>
                </c:ext>
              </c:extLst>
            </c:dLbl>
            <c:dLbl>
              <c:idx val="10"/>
              <c:tx>
                <c:rich>
                  <a:bodyPr/>
                  <a:lstStyle/>
                  <a:p>
                    <a:fld id="{4157EBF0-332C-46BB-BAB0-719168A48A0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7F-42B0-9456-1ACC133460DA}"/>
                </c:ext>
              </c:extLst>
            </c:dLbl>
            <c:dLbl>
              <c:idx val="11"/>
              <c:tx>
                <c:rich>
                  <a:bodyPr/>
                  <a:lstStyle/>
                  <a:p>
                    <a:fld id="{9D241E34-464F-468A-8BEE-EC1E2EFAF39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7F-42B0-9456-1ACC133460DA}"/>
                </c:ext>
              </c:extLst>
            </c:dLbl>
            <c:dLbl>
              <c:idx val="12"/>
              <c:tx>
                <c:rich>
                  <a:bodyPr/>
                  <a:lstStyle/>
                  <a:p>
                    <a:fld id="{2D06D6C4-CBC8-4E05-8F2F-2084E65BE30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7F-42B0-9456-1ACC133460DA}"/>
                </c:ext>
              </c:extLst>
            </c:dLbl>
            <c:dLbl>
              <c:idx val="13"/>
              <c:tx>
                <c:rich>
                  <a:bodyPr/>
                  <a:lstStyle/>
                  <a:p>
                    <a:fld id="{D61AA35D-52C2-4DA3-87D7-B99F7BA70033}"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7F-42B0-9456-1ACC133460DA}"/>
                </c:ext>
              </c:extLst>
            </c:dLbl>
            <c:dLbl>
              <c:idx val="14"/>
              <c:tx>
                <c:rich>
                  <a:bodyPr/>
                  <a:lstStyle/>
                  <a:p>
                    <a:fld id="{D6B9C6F3-C06B-4156-A3F4-340E003E5ED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87F-42B0-9456-1ACC133460DA}"/>
                </c:ext>
              </c:extLst>
            </c:dLbl>
            <c:dLbl>
              <c:idx val="15"/>
              <c:tx>
                <c:rich>
                  <a:bodyPr/>
                  <a:lstStyle/>
                  <a:p>
                    <a:fld id="{DE43A377-1166-4917-91A1-172B73E0D35B}"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87F-42B0-9456-1ACC133460DA}"/>
                </c:ext>
              </c:extLst>
            </c:dLbl>
            <c:dLbl>
              <c:idx val="16"/>
              <c:tx>
                <c:rich>
                  <a:bodyPr/>
                  <a:lstStyle/>
                  <a:p>
                    <a:fld id="{19BF6891-B98B-4658-8A9C-915D3695579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87F-42B0-9456-1ACC133460DA}"/>
                </c:ext>
              </c:extLst>
            </c:dLbl>
            <c:dLbl>
              <c:idx val="17"/>
              <c:tx>
                <c:rich>
                  <a:bodyPr/>
                  <a:lstStyle/>
                  <a:p>
                    <a:fld id="{8E1A75AE-50E3-4936-8055-6BE4CE758073}"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7F-42B0-9456-1ACC133460DA}"/>
                </c:ext>
              </c:extLst>
            </c:dLbl>
            <c:dLbl>
              <c:idx val="18"/>
              <c:layout>
                <c:manualLayout>
                  <c:x val="1.0643330675294189E-3"/>
                  <c:y val="-1.6162678847359294E-2"/>
                </c:manualLayout>
              </c:layout>
              <c:tx>
                <c:rich>
                  <a:bodyPr/>
                  <a:lstStyle/>
                  <a:p>
                    <a:fld id="{FA5FD038-FAC5-4391-8BEA-461B6F0A5307}" type="CELLRANGE">
                      <a:rPr lang="en-US"/>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87F-42B0-9456-1ACC133460DA}"/>
                </c:ext>
              </c:extLst>
            </c:dLbl>
            <c:dLbl>
              <c:idx val="19"/>
              <c:tx>
                <c:rich>
                  <a:bodyPr/>
                  <a:lstStyle/>
                  <a:p>
                    <a:fld id="{0D74622C-CF2F-49F8-81D9-E458F4FBCDE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87F-42B0-9456-1ACC133460DA}"/>
                </c:ext>
              </c:extLst>
            </c:dLbl>
            <c:dLbl>
              <c:idx val="20"/>
              <c:layout>
                <c:manualLayout>
                  <c:x val="-1.064333067529575E-3"/>
                  <c:y val="-1.3468899039465996E-2"/>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fld id="{36BD7847-E04D-4D0A-A1DB-82AE46EBC076}" type="CELLRANGE">
                      <a:rPr lang="en-US"/>
                      <a:pPr>
                        <a:defRPr b="1"/>
                      </a:pPr>
                      <a:t>[ZELLBEREICH]</a:t>
                    </a:fld>
                    <a:endParaRPr lang="de-DE"/>
                  </a:p>
                </c:rich>
              </c:tx>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387F-42B0-9456-1ACC133460D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Programm!$DC$2:$DW$2</c:f>
              <c:numCache>
                <c:formatCode>dd/mm/yy;@</c:formatCode>
                <c:ptCount val="21"/>
                <c:pt idx="0" formatCode="d/m/yy;@">
                  <c:v>45870</c:v>
                </c:pt>
                <c:pt idx="1">
                  <c:v>46266</c:v>
                </c:pt>
                <c:pt idx="2" formatCode="d/m/yy;@">
                  <c:v>46266</c:v>
                </c:pt>
                <c:pt idx="3" formatCode="d/m/yy;@">
                  <c:v>46265</c:v>
                </c:pt>
                <c:pt idx="4" formatCode="d/m/yy;@">
                  <c:v>46265</c:v>
                </c:pt>
                <c:pt idx="5" formatCode="d/m/yy;@">
                  <c:v>46265</c:v>
                </c:pt>
                <c:pt idx="6" formatCode="d/m/yy;@">
                  <c:v>46265</c:v>
                </c:pt>
                <c:pt idx="7" formatCode="d/m/yy;@">
                  <c:v>46265</c:v>
                </c:pt>
                <c:pt idx="8" formatCode="d/m/yy;@">
                  <c:v>46265</c:v>
                </c:pt>
                <c:pt idx="9" formatCode="d/m/yy;@">
                  <c:v>46265</c:v>
                </c:pt>
                <c:pt idx="10" formatCode="d/m/yy;@">
                  <c:v>46265</c:v>
                </c:pt>
                <c:pt idx="11" formatCode="d/m/yy;@">
                  <c:v>46265</c:v>
                </c:pt>
                <c:pt idx="12" formatCode="d/m/yy;@">
                  <c:v>46265</c:v>
                </c:pt>
                <c:pt idx="13" formatCode="d/m/yy;@">
                  <c:v>46265</c:v>
                </c:pt>
                <c:pt idx="14" formatCode="d/m/yy;@">
                  <c:v>46265</c:v>
                </c:pt>
                <c:pt idx="15" formatCode="d/m/yy;@">
                  <c:v>46265</c:v>
                </c:pt>
                <c:pt idx="16" formatCode="d/m/yy;@">
                  <c:v>46265</c:v>
                </c:pt>
                <c:pt idx="17" formatCode="d/m/yy;@">
                  <c:v>46265</c:v>
                </c:pt>
                <c:pt idx="18" formatCode="d/m/yy;@">
                  <c:v>46266</c:v>
                </c:pt>
                <c:pt idx="19" formatCode="d/m/yy;@">
                  <c:v>46266</c:v>
                </c:pt>
                <c:pt idx="20" formatCode="d/m/yy;@">
                  <c:v>46266</c:v>
                </c:pt>
              </c:numCache>
            </c:numRef>
          </c:cat>
          <c:val>
            <c:numRef>
              <c:f>Programm!$DC$3:$DW$3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5="http://schemas.microsoft.com/office/drawing/2012/chart" uri="{02D57815-91ED-43cb-92C2-25804820EDAC}">
              <c15:datalabelsRange>
                <c15:f>Programm!$DC$4:$DW$4</c15:f>
                <c15:dlblRangeCache>
                  <c:ptCount val="21"/>
                </c15:dlblRangeCache>
              </c15:datalabelsRange>
            </c:ext>
            <c:ext xmlns:c16="http://schemas.microsoft.com/office/drawing/2014/chart" uri="{C3380CC4-5D6E-409C-BE32-E72D297353CC}">
              <c16:uniqueId val="{00000019-BF38-4FAF-8DD0-4770885B33C1}"/>
            </c:ext>
          </c:extLst>
        </c:ser>
        <c:dLbls>
          <c:showLegendKey val="0"/>
          <c:showVal val="0"/>
          <c:showCatName val="0"/>
          <c:showSerName val="0"/>
          <c:showPercent val="0"/>
          <c:showBubbleSize val="0"/>
        </c:dLbls>
        <c:axId val="723245776"/>
        <c:axId val="723246760"/>
        <c:extLst/>
      </c:areaChart>
      <c:dateAx>
        <c:axId val="723245776"/>
        <c:scaling>
          <c:orientation val="minMax"/>
          <c:min val="45870"/>
        </c:scaling>
        <c:delete val="1"/>
        <c:axPos val="b"/>
        <c:numFmt formatCode="[$-407]d/\ mmm/;@" sourceLinked="0"/>
        <c:majorTickMark val="out"/>
        <c:minorTickMark val="none"/>
        <c:tickLblPos val="nextTo"/>
        <c:crossAx val="723246760"/>
        <c:crossesAt val="-50"/>
        <c:auto val="0"/>
        <c:lblOffset val="100"/>
        <c:baseTimeUnit val="days"/>
        <c:majorUnit val="1"/>
        <c:majorTimeUnit val="months"/>
      </c:dateAx>
      <c:valAx>
        <c:axId val="723246760"/>
        <c:scaling>
          <c:orientation val="minMax"/>
          <c:max val="200"/>
          <c:min val="0"/>
        </c:scaling>
        <c:delete val="1"/>
        <c:axPos val="l"/>
        <c:numFmt formatCode="General" sourceLinked="1"/>
        <c:majorTickMark val="out"/>
        <c:minorTickMark val="none"/>
        <c:tickLblPos val="nextTo"/>
        <c:crossAx val="723245776"/>
        <c:crosses val="autoZero"/>
        <c:crossBetween val="midCat"/>
        <c:majorUnit val="50"/>
      </c:valAx>
      <c:spPr>
        <a:noFill/>
        <a:ln>
          <a:noFill/>
        </a:ln>
        <a:effectLst/>
      </c:spPr>
    </c:plotArea>
    <c:plotVisOnly val="0"/>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pPr>
      <a:endParaRPr lang="de-DE"/>
    </a:p>
  </c:txPr>
  <c:printSettings>
    <c:headerFooter/>
    <c:pageMargins b="0.78740157499999996" l="0.7" r="0.7" t="0.78740157499999996" header="0.3" footer="0.3"/>
    <c:pageSetup paperSize="9" orientation="landscape" horizontalDpi="300"/>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40276544681611E-2"/>
          <c:y val="0.14025039271839362"/>
          <c:w val="0.93848883022031893"/>
          <c:h val="0.61955863317390858"/>
        </c:manualLayout>
      </c:layout>
      <c:areaChart>
        <c:grouping val="standard"/>
        <c:varyColors val="0"/>
        <c:ser>
          <c:idx val="0"/>
          <c:order val="0"/>
          <c:tx>
            <c:strRef>
              <c:f>Programm!$DA$36</c:f>
              <c:strCache>
                <c:ptCount val="1"/>
                <c:pt idx="0">
                  <c:v>Höhe Querbalken</c:v>
                </c:pt>
              </c:strCache>
            </c:strRef>
          </c:tx>
          <c:spPr>
            <a:noFill/>
            <a:ln w="25400">
              <a:noFill/>
            </a:ln>
            <a:effectLst/>
          </c:spPr>
          <c:dLbls>
            <c:dLbl>
              <c:idx val="0"/>
              <c:tx>
                <c:rich>
                  <a:bodyPr/>
                  <a:lstStyle/>
                  <a:p>
                    <a:fld id="{152A5157-2D1C-4CFB-920D-F0D8794C1994}" type="CELLRANGE">
                      <a:rPr lang="en-US"/>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2DB-4865-9913-8DFD34F049BA}"/>
                </c:ext>
              </c:extLst>
            </c:dLbl>
            <c:dLbl>
              <c:idx val="1"/>
              <c:tx>
                <c:rich>
                  <a:bodyPr/>
                  <a:lstStyle/>
                  <a:p>
                    <a:fld id="{DEAB0A70-265D-4280-BC32-9E0710BE0C4C}"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2DB-4865-9913-8DFD34F049BA}"/>
                </c:ext>
              </c:extLst>
            </c:dLbl>
            <c:dLbl>
              <c:idx val="2"/>
              <c:tx>
                <c:rich>
                  <a:bodyPr/>
                  <a:lstStyle/>
                  <a:p>
                    <a:fld id="{21D398F3-CB85-4FF6-A005-24FA8ECB4E55}"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2DB-4865-9913-8DFD34F049BA}"/>
                </c:ext>
              </c:extLst>
            </c:dLbl>
            <c:dLbl>
              <c:idx val="3"/>
              <c:layout>
                <c:manualLayout>
                  <c:x val="1.2745525734570642E-7"/>
                  <c:y val="-3.7710294428782876E-2"/>
                </c:manualLayout>
              </c:layout>
              <c:tx>
                <c:rich>
                  <a:bodyPr rot="0" spcFirstLastPara="1" vertOverflow="ellipsis" vert="horz" wrap="square" lIns="38100" tIns="19050" rIns="38100" bIns="19050" anchor="t" anchorCtr="1">
                    <a:noAutofit/>
                  </a:bodyPr>
                  <a:lstStyle/>
                  <a:p>
                    <a:pPr>
                      <a:defRPr sz="1050" b="0" i="0" u="none" strike="noStrike" kern="1200" baseline="0">
                        <a:solidFill>
                          <a:schemeClr val="accent1">
                            <a:lumMod val="75000"/>
                          </a:schemeClr>
                        </a:solidFill>
                        <a:latin typeface="+mn-lt"/>
                        <a:ea typeface="+mn-ea"/>
                        <a:cs typeface="+mn-cs"/>
                      </a:defRPr>
                    </a:pPr>
                    <a:fld id="{0F864FA9-393B-47BE-8329-CA6EA6B63B42}" type="CELLRANGE">
                      <a:rPr lang="en-US"/>
                      <a:pPr>
                        <a:defRPr sz="1050">
                          <a:solidFill>
                            <a:schemeClr val="accent1">
                              <a:lumMod val="75000"/>
                            </a:schemeClr>
                          </a:solidFill>
                        </a:defRPr>
                      </a:pPr>
                      <a:t>[ZELLBEREICH]</a:t>
                    </a:fld>
                    <a:endParaRPr lang="de-DE"/>
                  </a:p>
                </c:rich>
              </c:tx>
              <c:spPr>
                <a:noFill/>
                <a:ln>
                  <a:noFill/>
                </a:ln>
                <a:effectLst/>
              </c:spPr>
              <c:txPr>
                <a:bodyPr rot="0" spcFirstLastPara="1" vertOverflow="ellipsis" vert="horz" wrap="square" lIns="38100" tIns="19050" rIns="38100" bIns="19050" anchor="t" anchorCtr="1">
                  <a:noAutofit/>
                </a:bodyPr>
                <a:lstStyle/>
                <a:p>
                  <a:pPr>
                    <a:defRPr sz="1050" b="0" i="0" u="none" strike="noStrike" kern="1200" baseline="0">
                      <a:solidFill>
                        <a:schemeClr val="accent1">
                          <a:lumMod val="7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layout>
                    <c:manualLayout>
                      <c:w val="4.9441504378007969E-2"/>
                      <c:h val="0.4129570709646283"/>
                    </c:manualLayout>
                  </c15:layout>
                  <c15:dlblFieldTable/>
                  <c15:showDataLabelsRange val="1"/>
                </c:ext>
                <c:ext xmlns:c16="http://schemas.microsoft.com/office/drawing/2014/chart" uri="{C3380CC4-5D6E-409C-BE32-E72D297353CC}">
                  <c16:uniqueId val="{00000003-22DB-4865-9913-8DFD34F049BA}"/>
                </c:ext>
              </c:extLst>
            </c:dLbl>
            <c:dLbl>
              <c:idx val="4"/>
              <c:layout>
                <c:manualLayout>
                  <c:x val="5.4838847266655947E-7"/>
                  <c:y val="-3.1536698709741233E-2"/>
                </c:manualLayout>
              </c:layout>
              <c:tx>
                <c:rich>
                  <a:bodyPr rot="0" spcFirstLastPara="1" vertOverflow="ellipsis" vert="horz" wrap="square" lIns="38100" tIns="19050" rIns="38100" bIns="19050" anchor="t" anchorCtr="1">
                    <a:noAutofit/>
                  </a:bodyPr>
                  <a:lstStyle/>
                  <a:p>
                    <a:pPr>
                      <a:defRPr sz="1050" b="0" i="0" u="none" strike="noStrike" kern="1200" baseline="0">
                        <a:solidFill>
                          <a:schemeClr val="accent1">
                            <a:lumMod val="75000"/>
                          </a:schemeClr>
                        </a:solidFill>
                        <a:latin typeface="+mn-lt"/>
                        <a:ea typeface="+mn-ea"/>
                        <a:cs typeface="+mn-cs"/>
                      </a:defRPr>
                    </a:pPr>
                    <a:fld id="{F0D48888-7D74-4D73-8781-2F08F193528D}" type="CELLRANGE">
                      <a:rPr lang="en-US">
                        <a:solidFill>
                          <a:schemeClr val="accent1">
                            <a:lumMod val="75000"/>
                          </a:schemeClr>
                        </a:solidFill>
                      </a:rPr>
                      <a:pPr>
                        <a:defRPr sz="1050">
                          <a:solidFill>
                            <a:schemeClr val="accent1">
                              <a:lumMod val="75000"/>
                            </a:schemeClr>
                          </a:solidFill>
                        </a:defRPr>
                      </a:pPr>
                      <a:t>[ZELLBEREICH]</a:t>
                    </a:fld>
                    <a:endParaRPr lang="de-DE"/>
                  </a:p>
                </c:rich>
              </c:tx>
              <c:spPr>
                <a:noFill/>
                <a:ln>
                  <a:noFill/>
                </a:ln>
                <a:effectLst/>
              </c:spPr>
              <c:txPr>
                <a:bodyPr rot="0" spcFirstLastPara="1" vertOverflow="ellipsis" vert="horz" wrap="square" lIns="38100" tIns="19050" rIns="38100" bIns="19050" anchor="t" anchorCtr="1">
                  <a:noAutofit/>
                </a:bodyPr>
                <a:lstStyle/>
                <a:p>
                  <a:pPr>
                    <a:defRPr sz="1050" b="0" i="0" u="none" strike="noStrike" kern="1200" baseline="0">
                      <a:solidFill>
                        <a:schemeClr val="accent1">
                          <a:lumMod val="7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layout>
                    <c:manualLayout>
                      <c:w val="4.5031739011689734E-2"/>
                      <c:h val="0.4275813517285299"/>
                    </c:manualLayout>
                  </c15:layout>
                  <c15:dlblFieldTable/>
                  <c15:showDataLabelsRange val="1"/>
                </c:ext>
                <c:ext xmlns:c16="http://schemas.microsoft.com/office/drawing/2014/chart" uri="{C3380CC4-5D6E-409C-BE32-E72D297353CC}">
                  <c16:uniqueId val="{00000004-22DB-4865-9913-8DFD34F049BA}"/>
                </c:ext>
              </c:extLst>
            </c:dLbl>
            <c:dLbl>
              <c:idx val="5"/>
              <c:tx>
                <c:rich>
                  <a:bodyPr/>
                  <a:lstStyle/>
                  <a:p>
                    <a:fld id="{E71D327E-2F2E-4D1F-B7B3-C8D24587A486}"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2DB-4865-9913-8DFD34F049BA}"/>
                </c:ext>
              </c:extLst>
            </c:dLbl>
            <c:dLbl>
              <c:idx val="6"/>
              <c:delete val="1"/>
              <c:extLst>
                <c:ext xmlns:c15="http://schemas.microsoft.com/office/drawing/2012/chart" uri="{CE6537A1-D6FC-4f65-9D91-7224C49458BB}">
                  <c15:layout>
                    <c:manualLayout>
                      <c:w val="0.13498701925406545"/>
                      <c:h val="0.20726544213793174"/>
                    </c:manualLayout>
                  </c15:layout>
                </c:ext>
                <c:ext xmlns:c16="http://schemas.microsoft.com/office/drawing/2014/chart" uri="{C3380CC4-5D6E-409C-BE32-E72D297353CC}">
                  <c16:uniqueId val="{00000006-22DB-4865-9913-8DFD34F049BA}"/>
                </c:ext>
              </c:extLst>
            </c:dLbl>
            <c:dLbl>
              <c:idx val="7"/>
              <c:delete val="1"/>
              <c:extLst>
                <c:ext xmlns:c15="http://schemas.microsoft.com/office/drawing/2012/chart" uri="{CE6537A1-D6FC-4f65-9D91-7224C49458BB}">
                  <c15:layout>
                    <c:manualLayout>
                      <c:w val="4.72065818327961E-2"/>
                      <c:h val="0.27466478969296609"/>
                    </c:manualLayout>
                  </c15:layout>
                </c:ext>
                <c:ext xmlns:c16="http://schemas.microsoft.com/office/drawing/2014/chart" uri="{C3380CC4-5D6E-409C-BE32-E72D297353CC}">
                  <c16:uniqueId val="{00000007-22DB-4865-9913-8DFD34F049BA}"/>
                </c:ext>
              </c:extLst>
            </c:dLbl>
            <c:dLbl>
              <c:idx val="8"/>
              <c:tx>
                <c:rich>
                  <a:bodyPr/>
                  <a:lstStyle/>
                  <a:p>
                    <a:fld id="{CDCA345F-538B-4561-9490-04ED67927FF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2DB-4865-9913-8DFD34F049BA}"/>
                </c:ext>
              </c:extLst>
            </c:dLbl>
            <c:dLbl>
              <c:idx val="9"/>
              <c:tx>
                <c:rich>
                  <a:bodyPr/>
                  <a:lstStyle/>
                  <a:p>
                    <a:fld id="{FADC6244-ED2A-4B76-9C87-F5C83176A704}"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2DB-4865-9913-8DFD34F049BA}"/>
                </c:ext>
              </c:extLst>
            </c:dLbl>
            <c:dLbl>
              <c:idx val="10"/>
              <c:tx>
                <c:rich>
                  <a:bodyPr/>
                  <a:lstStyle/>
                  <a:p>
                    <a:fld id="{6E0A4013-2867-4796-B6F0-56CE4904F93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2DB-4865-9913-8DFD34F049BA}"/>
                </c:ext>
              </c:extLst>
            </c:dLbl>
            <c:dLbl>
              <c:idx val="11"/>
              <c:tx>
                <c:rich>
                  <a:bodyPr/>
                  <a:lstStyle/>
                  <a:p>
                    <a:fld id="{3DE8C1BE-B71A-467A-A6E3-020415D80633}"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2DB-4865-9913-8DFD34F049BA}"/>
                </c:ext>
              </c:extLst>
            </c:dLbl>
            <c:dLbl>
              <c:idx val="12"/>
              <c:tx>
                <c:rich>
                  <a:bodyPr/>
                  <a:lstStyle/>
                  <a:p>
                    <a:fld id="{E1CC86C7-EF55-431F-BFF7-5E6013B45999}"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2DB-4865-9913-8DFD34F049BA}"/>
                </c:ext>
              </c:extLst>
            </c:dLbl>
            <c:dLbl>
              <c:idx val="13"/>
              <c:tx>
                <c:rich>
                  <a:bodyPr/>
                  <a:lstStyle/>
                  <a:p>
                    <a:fld id="{2F172B74-985C-4ABA-9533-314A1DC94BC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2DB-4865-9913-8DFD34F049BA}"/>
                </c:ext>
              </c:extLst>
            </c:dLbl>
            <c:dLbl>
              <c:idx val="14"/>
              <c:tx>
                <c:rich>
                  <a:bodyPr/>
                  <a:lstStyle/>
                  <a:p>
                    <a:fld id="{ADB8A8F0-5B88-453B-A427-613D9B268DD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2DB-4865-9913-8DFD34F049BA}"/>
                </c:ext>
              </c:extLst>
            </c:dLbl>
            <c:dLbl>
              <c:idx val="15"/>
              <c:tx>
                <c:rich>
                  <a:bodyPr/>
                  <a:lstStyle/>
                  <a:p>
                    <a:fld id="{8921FD71-36A7-4F3E-91E8-EA50A46296F8}"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2DB-4865-9913-8DFD34F049BA}"/>
                </c:ext>
              </c:extLst>
            </c:dLbl>
            <c:dLbl>
              <c:idx val="16"/>
              <c:tx>
                <c:rich>
                  <a:bodyPr/>
                  <a:lstStyle/>
                  <a:p>
                    <a:fld id="{27FE6D6A-E30E-4F07-9398-B39CC1859D81}"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2DB-4865-9913-8DFD34F049BA}"/>
                </c:ext>
              </c:extLst>
            </c:dLbl>
            <c:dLbl>
              <c:idx val="17"/>
              <c:tx>
                <c:rich>
                  <a:bodyPr/>
                  <a:lstStyle/>
                  <a:p>
                    <a:fld id="{D445D0A8-D8DA-4219-9C45-16F8B0425FB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2DB-4865-9913-8DFD34F049BA}"/>
                </c:ext>
              </c:extLst>
            </c:dLbl>
            <c:dLbl>
              <c:idx val="18"/>
              <c:tx>
                <c:rich>
                  <a:bodyPr/>
                  <a:lstStyle/>
                  <a:p>
                    <a:fld id="{721FBA26-DAB9-4BFB-8064-0207BA7D55AC}"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2DB-4865-9913-8DFD34F049BA}"/>
                </c:ext>
              </c:extLst>
            </c:dLbl>
            <c:dLbl>
              <c:idx val="19"/>
              <c:tx>
                <c:rich>
                  <a:bodyPr/>
                  <a:lstStyle/>
                  <a:p>
                    <a:fld id="{D108C6D2-F27F-475D-A857-3673AA89D54D}"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2DB-4865-9913-8DFD34F049BA}"/>
                </c:ext>
              </c:extLst>
            </c:dLbl>
            <c:dLbl>
              <c:idx val="20"/>
              <c:tx>
                <c:rich>
                  <a:bodyPr/>
                  <a:lstStyle/>
                  <a:p>
                    <a:fld id="{480B60DD-7509-4663-A17C-904504E23D05}"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B75-4061-9CC7-99D0A693C405}"/>
                </c:ext>
              </c:extLst>
            </c:dLbl>
            <c:dLbl>
              <c:idx val="21"/>
              <c:tx>
                <c:rich>
                  <a:bodyPr/>
                  <a:lstStyle/>
                  <a:p>
                    <a:fld id="{E3B08E1C-6BAF-4773-BF8D-E95D53873DDB}"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B75-4061-9CC7-99D0A693C405}"/>
                </c:ext>
              </c:extLst>
            </c:dLbl>
            <c:dLbl>
              <c:idx val="22"/>
              <c:tx>
                <c:rich>
                  <a:bodyPr/>
                  <a:lstStyle/>
                  <a:p>
                    <a:fld id="{C16D8690-C3FA-4DC4-B49C-A7CBA4A886A3}"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B75-4061-9CC7-99D0A693C405}"/>
                </c:ext>
              </c:extLst>
            </c:dLbl>
            <c:spPr>
              <a:noFill/>
              <a:ln>
                <a:noFill/>
              </a:ln>
              <a:effectLst/>
            </c:spPr>
            <c:txPr>
              <a:bodyPr rot="0" spcFirstLastPara="1" vertOverflow="ellipsis" vert="horz" wrap="square" lIns="38100" tIns="19050" rIns="38100" bIns="19050" anchor="t" anchorCtr="1">
                <a:spAutoFit/>
              </a:bodyPr>
              <a:lstStyle/>
              <a:p>
                <a:pPr>
                  <a:defRPr sz="1050" b="0" i="0" u="none" strike="noStrike" kern="1200" baseline="0">
                    <a:solidFill>
                      <a:schemeClr val="accent1">
                        <a:lumMod val="75000"/>
                      </a:schemeClr>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31750" cap="flat" cmpd="sng" algn="ctr">
                      <a:solidFill>
                        <a:schemeClr val="accent1">
                          <a:lumMod val="75000"/>
                        </a:schemeClr>
                      </a:solidFill>
                      <a:round/>
                      <a:headEnd type="none"/>
                      <a:tailEnd type="triangle"/>
                    </a:ln>
                    <a:effectLst/>
                  </c:spPr>
                </c15:leaderLines>
              </c:ext>
            </c:extLst>
          </c:dLbls>
          <c:cat>
            <c:numRef>
              <c:f>Programm!$DC$32:$DY$32</c:f>
              <c:numCache>
                <c:formatCode>d/m/yy;@</c:formatCode>
                <c:ptCount val="23"/>
                <c:pt idx="0">
                  <c:v>45870</c:v>
                </c:pt>
                <c:pt idx="1">
                  <c:v>45870</c:v>
                </c:pt>
                <c:pt idx="2">
                  <c:v>45870</c:v>
                </c:pt>
                <c:pt idx="3">
                  <c:v>45870</c:v>
                </c:pt>
                <c:pt idx="4">
                  <c:v>45870</c:v>
                </c:pt>
                <c:pt idx="5">
                  <c:v>45870</c:v>
                </c:pt>
                <c:pt idx="6" formatCode="dd/mm/yy;@">
                  <c:v>45992</c:v>
                </c:pt>
                <c:pt idx="7" formatCode="dd/mm/yy;@">
                  <c:v>46266</c:v>
                </c:pt>
                <c:pt idx="8" formatCode="dd/mm/yy;@">
                  <c:v>46266</c:v>
                </c:pt>
                <c:pt idx="9" formatCode="dd/mm/yy;@">
                  <c:v>46266</c:v>
                </c:pt>
                <c:pt idx="10" formatCode="dd/mm/yy;@">
                  <c:v>46266</c:v>
                </c:pt>
                <c:pt idx="11" formatCode="dd/mm/yy;@">
                  <c:v>46266</c:v>
                </c:pt>
                <c:pt idx="12" formatCode="dd/mm/yy;@">
                  <c:v>46266</c:v>
                </c:pt>
                <c:pt idx="13" formatCode="dd/mm/yy;@">
                  <c:v>46266</c:v>
                </c:pt>
                <c:pt idx="14" formatCode="dd/mm/yy;@">
                  <c:v>46266</c:v>
                </c:pt>
                <c:pt idx="15" formatCode="dd/mm/yy;@">
                  <c:v>46266</c:v>
                </c:pt>
                <c:pt idx="16" formatCode="dd/mm/yy;@">
                  <c:v>46266</c:v>
                </c:pt>
                <c:pt idx="17" formatCode="dd/mm/yy;@">
                  <c:v>46266</c:v>
                </c:pt>
                <c:pt idx="18" formatCode="dd/mm/yy;@">
                  <c:v>46266</c:v>
                </c:pt>
                <c:pt idx="19">
                  <c:v>46266</c:v>
                </c:pt>
                <c:pt idx="20">
                  <c:v>46266</c:v>
                </c:pt>
                <c:pt idx="21">
                  <c:v>46266</c:v>
                </c:pt>
                <c:pt idx="22">
                  <c:v>46266</c:v>
                </c:pt>
              </c:numCache>
            </c:numRef>
          </c:cat>
          <c:val>
            <c:numRef>
              <c:f>Programm!$DC$36:$DY$36</c:f>
              <c:numCache>
                <c:formatCode>General</c:formatCode>
                <c:ptCount val="23"/>
                <c:pt idx="0">
                  <c:v>100</c:v>
                </c:pt>
                <c:pt idx="3">
                  <c:v>0</c:v>
                </c:pt>
                <c:pt idx="4">
                  <c:v>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numCache>
            </c:numRef>
          </c:val>
          <c:extLst>
            <c:ext xmlns:c15="http://schemas.microsoft.com/office/drawing/2012/chart" uri="{02D57815-91ED-43cb-92C2-25804820EDAC}">
              <c15:datalabelsRange>
                <c15:f>Programm!$DC$37:$DY$37</c15:f>
                <c15:dlblRangeCache>
                  <c:ptCount val="23"/>
                </c15:dlblRangeCache>
              </c15:datalabelsRange>
            </c:ext>
            <c:ext xmlns:c16="http://schemas.microsoft.com/office/drawing/2014/chart" uri="{C3380CC4-5D6E-409C-BE32-E72D297353CC}">
              <c16:uniqueId val="{00000014-22DB-4865-9913-8DFD34F049BA}"/>
            </c:ext>
          </c:extLst>
        </c:ser>
        <c:ser>
          <c:idx val="1"/>
          <c:order val="4"/>
          <c:tx>
            <c:strRef>
              <c:f>Programm!$DA$34</c:f>
              <c:strCache>
                <c:ptCount val="1"/>
                <c:pt idx="0">
                  <c:v>opt. Düngedatum organ.</c:v>
                </c:pt>
              </c:strCache>
            </c:strRef>
          </c:tx>
          <c:spPr>
            <a:solidFill>
              <a:schemeClr val="accent2">
                <a:lumMod val="60000"/>
                <a:lumOff val="40000"/>
              </a:schemeClr>
            </a:solidFill>
            <a:ln w="25400">
              <a:noFill/>
            </a:ln>
            <a:effectLst/>
          </c:spPr>
          <c:dLbls>
            <c:dLbl>
              <c:idx val="0"/>
              <c:tx>
                <c:rich>
                  <a:bodyPr/>
                  <a:lstStyle/>
                  <a:p>
                    <a:fld id="{1DDE0F7F-6299-4719-9F27-4A0E87FA3C9D}" type="CELLRANGE">
                      <a:rPr lang="en-US"/>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22DB-4865-9913-8DFD34F049BA}"/>
                </c:ext>
              </c:extLst>
            </c:dLbl>
            <c:dLbl>
              <c:idx val="1"/>
              <c:tx>
                <c:rich>
                  <a:bodyPr/>
                  <a:lstStyle/>
                  <a:p>
                    <a:fld id="{9DD0A4D5-BCFC-43A2-B414-7821D927A077}"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2DB-4865-9913-8DFD34F049BA}"/>
                </c:ext>
              </c:extLst>
            </c:dLbl>
            <c:dLbl>
              <c:idx val="2"/>
              <c:layout>
                <c:manualLayout>
                  <c:x val="3.0915621584777557E-2"/>
                  <c:y val="-8.4191825195785303E-3"/>
                </c:manualLayout>
              </c:layout>
              <c:tx>
                <c:rich>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fld id="{63CA163B-B032-4BDB-A673-32289EF31007}" type="CELLRANGE">
                      <a:rPr lang="en-US"/>
                      <a:pPr>
                        <a:defRPr/>
                      </a:pPr>
                      <a:t>[ZELLBEREICH]</a:t>
                    </a:fld>
                    <a:endParaRPr lang="de-DE"/>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layout>
                    <c:manualLayout>
                      <c:w val="4.9166693980576985E-2"/>
                      <c:h val="7.6089719585295659E-2"/>
                    </c:manualLayout>
                  </c15:layout>
                  <c15:dlblFieldTable/>
                  <c15:showDataLabelsRange val="1"/>
                </c:ext>
                <c:ext xmlns:c16="http://schemas.microsoft.com/office/drawing/2014/chart" uri="{C3380CC4-5D6E-409C-BE32-E72D297353CC}">
                  <c16:uniqueId val="{00000017-22DB-4865-9913-8DFD34F049BA}"/>
                </c:ext>
              </c:extLst>
            </c:dLbl>
            <c:dLbl>
              <c:idx val="3"/>
              <c:tx>
                <c:rich>
                  <a:bodyPr/>
                  <a:lstStyle/>
                  <a:p>
                    <a:fld id="{006E0380-F8D6-4F6B-A0E9-02F05CBCB89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2DB-4865-9913-8DFD34F049BA}"/>
                </c:ext>
              </c:extLst>
            </c:dLbl>
            <c:dLbl>
              <c:idx val="4"/>
              <c:tx>
                <c:rich>
                  <a:bodyPr/>
                  <a:lstStyle/>
                  <a:p>
                    <a:fld id="{52F1BC61-8E0F-43FE-935B-0DF8EC12FEA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2DB-4865-9913-8DFD34F049BA}"/>
                </c:ext>
              </c:extLst>
            </c:dLbl>
            <c:dLbl>
              <c:idx val="5"/>
              <c:tx>
                <c:rich>
                  <a:bodyPr/>
                  <a:lstStyle/>
                  <a:p>
                    <a:fld id="{6433689E-6B13-4E27-ADCA-C5E41B97B98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2DB-4865-9913-8DFD34F049BA}"/>
                </c:ext>
              </c:extLst>
            </c:dLbl>
            <c:dLbl>
              <c:idx val="6"/>
              <c:tx>
                <c:rich>
                  <a:bodyPr/>
                  <a:lstStyle/>
                  <a:p>
                    <a:fld id="{D7EB4450-5C74-4710-896E-79316CC5B99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2DB-4865-9913-8DFD34F049BA}"/>
                </c:ext>
              </c:extLst>
            </c:dLbl>
            <c:dLbl>
              <c:idx val="7"/>
              <c:tx>
                <c:rich>
                  <a:bodyPr/>
                  <a:lstStyle/>
                  <a:p>
                    <a:fld id="{ED6965AC-746A-45BB-97B7-FFF6164D13D4}"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2DB-4865-9913-8DFD34F049BA}"/>
                </c:ext>
              </c:extLst>
            </c:dLbl>
            <c:dLbl>
              <c:idx val="8"/>
              <c:tx>
                <c:rich>
                  <a:bodyPr/>
                  <a:lstStyle/>
                  <a:p>
                    <a:fld id="{2509815E-BA95-4BEB-A6BC-97232951CDF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2DB-4865-9913-8DFD34F049BA}"/>
                </c:ext>
              </c:extLst>
            </c:dLbl>
            <c:dLbl>
              <c:idx val="9"/>
              <c:tx>
                <c:rich>
                  <a:bodyPr/>
                  <a:lstStyle/>
                  <a:p>
                    <a:fld id="{A2DC3336-9C27-44D9-BFEF-ADF3FB37CC3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2DB-4865-9913-8DFD34F049BA}"/>
                </c:ext>
              </c:extLst>
            </c:dLbl>
            <c:dLbl>
              <c:idx val="10"/>
              <c:tx>
                <c:rich>
                  <a:bodyPr/>
                  <a:lstStyle/>
                  <a:p>
                    <a:fld id="{BD5F0EE4-3CCA-4B1A-B602-A681F16D2C86}"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2DB-4865-9913-8DFD34F049BA}"/>
                </c:ext>
              </c:extLst>
            </c:dLbl>
            <c:dLbl>
              <c:idx val="11"/>
              <c:tx>
                <c:rich>
                  <a:bodyPr/>
                  <a:lstStyle/>
                  <a:p>
                    <a:fld id="{57BA5C5D-0B1F-41A4-AED3-B1C31D0D5E4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2DB-4865-9913-8DFD34F049BA}"/>
                </c:ext>
              </c:extLst>
            </c:dLbl>
            <c:dLbl>
              <c:idx val="12"/>
              <c:tx>
                <c:rich>
                  <a:bodyPr/>
                  <a:lstStyle/>
                  <a:p>
                    <a:fld id="{0CFAC571-2F30-43FA-9164-325C3AFFEA3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2DB-4865-9913-8DFD34F049BA}"/>
                </c:ext>
              </c:extLst>
            </c:dLbl>
            <c:dLbl>
              <c:idx val="13"/>
              <c:tx>
                <c:rich>
                  <a:bodyPr/>
                  <a:lstStyle/>
                  <a:p>
                    <a:fld id="{79390C17-939B-4EFD-8859-87D5F217304D}"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2DB-4865-9913-8DFD34F049BA}"/>
                </c:ext>
              </c:extLst>
            </c:dLbl>
            <c:dLbl>
              <c:idx val="14"/>
              <c:tx>
                <c:rich>
                  <a:bodyPr/>
                  <a:lstStyle/>
                  <a:p>
                    <a:fld id="{8BCEB91B-CFF3-41E8-92D9-36289B4871DD}"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2DB-4865-9913-8DFD34F049BA}"/>
                </c:ext>
              </c:extLst>
            </c:dLbl>
            <c:dLbl>
              <c:idx val="15"/>
              <c:tx>
                <c:rich>
                  <a:bodyPr/>
                  <a:lstStyle/>
                  <a:p>
                    <a:fld id="{BB446418-BB5C-4440-A8F2-227DE4E13217}"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2DB-4865-9913-8DFD34F049BA}"/>
                </c:ext>
              </c:extLst>
            </c:dLbl>
            <c:dLbl>
              <c:idx val="16"/>
              <c:tx>
                <c:rich>
                  <a:bodyPr/>
                  <a:lstStyle/>
                  <a:p>
                    <a:fld id="{40B78B8D-8B22-4B2B-9E4E-6C471B1C6A03}"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2DB-4865-9913-8DFD34F049BA}"/>
                </c:ext>
              </c:extLst>
            </c:dLbl>
            <c:dLbl>
              <c:idx val="17"/>
              <c:tx>
                <c:rich>
                  <a:bodyPr/>
                  <a:lstStyle/>
                  <a:p>
                    <a:fld id="{62EC1021-C5BA-4608-94B8-DB82C1669428}"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2DB-4865-9913-8DFD34F049BA}"/>
                </c:ext>
              </c:extLst>
            </c:dLbl>
            <c:dLbl>
              <c:idx val="18"/>
              <c:tx>
                <c:rich>
                  <a:bodyPr/>
                  <a:lstStyle/>
                  <a:p>
                    <a:fld id="{B684CD50-BB03-44D1-A836-9EA7A215F93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2DB-4865-9913-8DFD34F049BA}"/>
                </c:ext>
              </c:extLst>
            </c:dLbl>
            <c:dLbl>
              <c:idx val="19"/>
              <c:tx>
                <c:rich>
                  <a:bodyPr/>
                  <a:lstStyle/>
                  <a:p>
                    <a:fld id="{BC34935F-09AF-47C0-BDAB-C01CE9FE2709}"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22DB-4865-9913-8DFD34F049BA}"/>
                </c:ext>
              </c:extLst>
            </c:dLbl>
            <c:dLbl>
              <c:idx val="20"/>
              <c:tx>
                <c:rich>
                  <a:bodyPr/>
                  <a:lstStyle/>
                  <a:p>
                    <a:fld id="{A34EB4F5-6854-4DEB-BAE1-D701A049F38B}"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B75-4061-9CC7-99D0A693C405}"/>
                </c:ext>
              </c:extLst>
            </c:dLbl>
            <c:dLbl>
              <c:idx val="21"/>
              <c:tx>
                <c:rich>
                  <a:bodyPr/>
                  <a:lstStyle/>
                  <a:p>
                    <a:fld id="{B44378B6-6D37-48B5-AB60-22122CF82AC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B75-4061-9CC7-99D0A693C405}"/>
                </c:ext>
              </c:extLst>
            </c:dLbl>
            <c:dLbl>
              <c:idx val="22"/>
              <c:tx>
                <c:rich>
                  <a:bodyPr/>
                  <a:lstStyle/>
                  <a:p>
                    <a:endParaRPr lang="de-D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BB75-4061-9CC7-99D0A693C40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Programm!$DC$32:$DY$32</c:f>
              <c:numCache>
                <c:formatCode>d/m/yy;@</c:formatCode>
                <c:ptCount val="23"/>
                <c:pt idx="0">
                  <c:v>45870</c:v>
                </c:pt>
                <c:pt idx="1">
                  <c:v>45870</c:v>
                </c:pt>
                <c:pt idx="2">
                  <c:v>45870</c:v>
                </c:pt>
                <c:pt idx="3">
                  <c:v>45870</c:v>
                </c:pt>
                <c:pt idx="4">
                  <c:v>45870</c:v>
                </c:pt>
                <c:pt idx="5">
                  <c:v>45870</c:v>
                </c:pt>
                <c:pt idx="6" formatCode="dd/mm/yy;@">
                  <c:v>45992</c:v>
                </c:pt>
                <c:pt idx="7" formatCode="dd/mm/yy;@">
                  <c:v>46266</c:v>
                </c:pt>
                <c:pt idx="8" formatCode="dd/mm/yy;@">
                  <c:v>46266</c:v>
                </c:pt>
                <c:pt idx="9" formatCode="dd/mm/yy;@">
                  <c:v>46266</c:v>
                </c:pt>
                <c:pt idx="10" formatCode="dd/mm/yy;@">
                  <c:v>46266</c:v>
                </c:pt>
                <c:pt idx="11" formatCode="dd/mm/yy;@">
                  <c:v>46266</c:v>
                </c:pt>
                <c:pt idx="12" formatCode="dd/mm/yy;@">
                  <c:v>46266</c:v>
                </c:pt>
                <c:pt idx="13" formatCode="dd/mm/yy;@">
                  <c:v>46266</c:v>
                </c:pt>
                <c:pt idx="14" formatCode="dd/mm/yy;@">
                  <c:v>46266</c:v>
                </c:pt>
                <c:pt idx="15" formatCode="dd/mm/yy;@">
                  <c:v>46266</c:v>
                </c:pt>
                <c:pt idx="16" formatCode="dd/mm/yy;@">
                  <c:v>46266</c:v>
                </c:pt>
                <c:pt idx="17" formatCode="dd/mm/yy;@">
                  <c:v>46266</c:v>
                </c:pt>
                <c:pt idx="18" formatCode="dd/mm/yy;@">
                  <c:v>46266</c:v>
                </c:pt>
                <c:pt idx="19">
                  <c:v>46266</c:v>
                </c:pt>
                <c:pt idx="20">
                  <c:v>46266</c:v>
                </c:pt>
                <c:pt idx="21">
                  <c:v>46266</c:v>
                </c:pt>
                <c:pt idx="22">
                  <c:v>46266</c:v>
                </c:pt>
              </c:numCache>
            </c:numRef>
          </c:cat>
          <c:val>
            <c:numRef>
              <c:f>Programm!$DC$34:$DY$34</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5="http://schemas.microsoft.com/office/drawing/2012/chart" uri="{02D57815-91ED-43cb-92C2-25804820EDAC}">
              <c15:datalabelsRange>
                <c15:f>Programm!$DC$43:$DX$43</c15:f>
                <c15:dlblRangeCache>
                  <c:ptCount val="22"/>
                  <c:pt idx="14">
                    <c:v> </c:v>
                  </c:pt>
                </c15:dlblRangeCache>
              </c15:datalabelsRange>
            </c:ext>
            <c:ext xmlns:c16="http://schemas.microsoft.com/office/drawing/2014/chart" uri="{C3380CC4-5D6E-409C-BE32-E72D297353CC}">
              <c16:uniqueId val="{00000029-22DB-4865-9913-8DFD34F049BA}"/>
            </c:ext>
          </c:extLst>
        </c:ser>
        <c:ser>
          <c:idx val="2"/>
          <c:order val="5"/>
          <c:tx>
            <c:strRef>
              <c:f>Programm!$DA$45</c:f>
              <c:strCache>
                <c:ptCount val="1"/>
                <c:pt idx="0">
                  <c:v>zeitliche Überschneidung organ. Gaben</c:v>
                </c:pt>
              </c:strCache>
            </c:strRef>
          </c:tx>
          <c:spPr>
            <a:solidFill>
              <a:schemeClr val="accent2"/>
            </a:solidFill>
            <a:ln w="25400">
              <a:noFill/>
            </a:ln>
            <a:effectLst/>
          </c:spPr>
          <c:dLbls>
            <c:dLbl>
              <c:idx val="0"/>
              <c:tx>
                <c:rich>
                  <a:bodyPr/>
                  <a:lstStyle/>
                  <a:p>
                    <a:fld id="{5A54742D-C236-4601-B8B3-D23BE91EE8BA}" type="CELLRANGE">
                      <a:rPr lang="en-US"/>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C3A-4F32-8EB5-A51046955CB3}"/>
                </c:ext>
              </c:extLst>
            </c:dLbl>
            <c:dLbl>
              <c:idx val="1"/>
              <c:tx>
                <c:rich>
                  <a:bodyPr/>
                  <a:lstStyle/>
                  <a:p>
                    <a:fld id="{F4548195-F24C-463C-8670-D25C8E05038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C3A-4F32-8EB5-A51046955CB3}"/>
                </c:ext>
              </c:extLst>
            </c:dLbl>
            <c:dLbl>
              <c:idx val="2"/>
              <c:tx>
                <c:rich>
                  <a:bodyPr/>
                  <a:lstStyle/>
                  <a:p>
                    <a:fld id="{CE5EF8A3-BE81-43BD-BDF8-F453566CEAD8}"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C3A-4F32-8EB5-A51046955CB3}"/>
                </c:ext>
              </c:extLst>
            </c:dLbl>
            <c:dLbl>
              <c:idx val="3"/>
              <c:tx>
                <c:rich>
                  <a:bodyPr/>
                  <a:lstStyle/>
                  <a:p>
                    <a:fld id="{AFCD5361-4633-479E-A1D9-C35ECC00E08E}"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C3A-4F32-8EB5-A51046955CB3}"/>
                </c:ext>
              </c:extLst>
            </c:dLbl>
            <c:dLbl>
              <c:idx val="4"/>
              <c:tx>
                <c:rich>
                  <a:bodyPr/>
                  <a:lstStyle/>
                  <a:p>
                    <a:fld id="{DF782D36-98E5-4845-9051-B79213521588}"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3A-4F32-8EB5-A51046955CB3}"/>
                </c:ext>
              </c:extLst>
            </c:dLbl>
            <c:dLbl>
              <c:idx val="5"/>
              <c:tx>
                <c:rich>
                  <a:bodyPr/>
                  <a:lstStyle/>
                  <a:p>
                    <a:fld id="{CAC07993-8DEE-4E10-B5E7-F22F359B7CB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C3A-4F32-8EB5-A51046955CB3}"/>
                </c:ext>
              </c:extLst>
            </c:dLbl>
            <c:dLbl>
              <c:idx val="6"/>
              <c:tx>
                <c:rich>
                  <a:bodyPr/>
                  <a:lstStyle/>
                  <a:p>
                    <a:fld id="{D196DCED-E67F-43B4-BE1D-D199B7FFF46B}"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C3A-4F32-8EB5-A51046955CB3}"/>
                </c:ext>
              </c:extLst>
            </c:dLbl>
            <c:dLbl>
              <c:idx val="7"/>
              <c:tx>
                <c:rich>
                  <a:bodyPr/>
                  <a:lstStyle/>
                  <a:p>
                    <a:fld id="{C5CD8D62-9DFF-4A21-829D-16AB045A7D66}"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3A-4F32-8EB5-A51046955CB3}"/>
                </c:ext>
              </c:extLst>
            </c:dLbl>
            <c:dLbl>
              <c:idx val="8"/>
              <c:tx>
                <c:rich>
                  <a:bodyPr/>
                  <a:lstStyle/>
                  <a:p>
                    <a:fld id="{482F5876-0CE2-4470-81F9-5FD7A7118C8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C3A-4F32-8EB5-A51046955CB3}"/>
                </c:ext>
              </c:extLst>
            </c:dLbl>
            <c:dLbl>
              <c:idx val="9"/>
              <c:tx>
                <c:rich>
                  <a:bodyPr/>
                  <a:lstStyle/>
                  <a:p>
                    <a:fld id="{C1D72E1D-5052-4D5F-A70D-FA44B2857B3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3A-4F32-8EB5-A51046955CB3}"/>
                </c:ext>
              </c:extLst>
            </c:dLbl>
            <c:dLbl>
              <c:idx val="10"/>
              <c:tx>
                <c:rich>
                  <a:bodyPr/>
                  <a:lstStyle/>
                  <a:p>
                    <a:fld id="{DB9D6C83-1629-45C4-921B-77D1CF32A5CC}"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C3A-4F32-8EB5-A51046955CB3}"/>
                </c:ext>
              </c:extLst>
            </c:dLbl>
            <c:dLbl>
              <c:idx val="11"/>
              <c:tx>
                <c:rich>
                  <a:bodyPr/>
                  <a:lstStyle/>
                  <a:p>
                    <a:fld id="{0C19BFAE-2AC4-445F-92DA-C229AA6E0D9E}"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C3A-4F32-8EB5-A51046955CB3}"/>
                </c:ext>
              </c:extLst>
            </c:dLbl>
            <c:dLbl>
              <c:idx val="12"/>
              <c:tx>
                <c:rich>
                  <a:bodyPr/>
                  <a:lstStyle/>
                  <a:p>
                    <a:fld id="{E58F140E-3619-4CF6-88B1-AEDEB964DE4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C3A-4F32-8EB5-A51046955CB3}"/>
                </c:ext>
              </c:extLst>
            </c:dLbl>
            <c:dLbl>
              <c:idx val="13"/>
              <c:tx>
                <c:rich>
                  <a:bodyPr/>
                  <a:lstStyle/>
                  <a:p>
                    <a:fld id="{DB6B400D-2786-4B07-85A1-FABC32DA180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C3A-4F32-8EB5-A51046955CB3}"/>
                </c:ext>
              </c:extLst>
            </c:dLbl>
            <c:dLbl>
              <c:idx val="14"/>
              <c:tx>
                <c:rich>
                  <a:bodyPr/>
                  <a:lstStyle/>
                  <a:p>
                    <a:fld id="{B5BAEA40-5E5A-4F11-99FB-F23AACC585F6}"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C3A-4F32-8EB5-A51046955CB3}"/>
                </c:ext>
              </c:extLst>
            </c:dLbl>
            <c:dLbl>
              <c:idx val="15"/>
              <c:tx>
                <c:rich>
                  <a:bodyPr/>
                  <a:lstStyle/>
                  <a:p>
                    <a:fld id="{11B0F987-24C4-4BA5-98AE-8AEBF0F6A374}"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C3A-4F32-8EB5-A51046955CB3}"/>
                </c:ext>
              </c:extLst>
            </c:dLbl>
            <c:dLbl>
              <c:idx val="16"/>
              <c:tx>
                <c:rich>
                  <a:bodyPr/>
                  <a:lstStyle/>
                  <a:p>
                    <a:fld id="{E856F3C3-D1EC-45AD-B915-CEEE047C7D88}"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C3A-4F32-8EB5-A51046955CB3}"/>
                </c:ext>
              </c:extLst>
            </c:dLbl>
            <c:dLbl>
              <c:idx val="17"/>
              <c:tx>
                <c:rich>
                  <a:bodyPr/>
                  <a:lstStyle/>
                  <a:p>
                    <a:fld id="{878ECB9F-269A-459C-A2BF-95FB4E5D1521}"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C3A-4F32-8EB5-A51046955CB3}"/>
                </c:ext>
              </c:extLst>
            </c:dLbl>
            <c:dLbl>
              <c:idx val="18"/>
              <c:tx>
                <c:rich>
                  <a:bodyPr/>
                  <a:lstStyle/>
                  <a:p>
                    <a:fld id="{74740365-3EFA-4236-8982-7D6167071F3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C3A-4F32-8EB5-A51046955CB3}"/>
                </c:ext>
              </c:extLst>
            </c:dLbl>
            <c:dLbl>
              <c:idx val="19"/>
              <c:tx>
                <c:rich>
                  <a:bodyPr/>
                  <a:lstStyle/>
                  <a:p>
                    <a:fld id="{37CA45D4-1A6B-4F6D-9422-CCA2984F240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C3A-4F32-8EB5-A51046955CB3}"/>
                </c:ext>
              </c:extLst>
            </c:dLbl>
            <c:dLbl>
              <c:idx val="20"/>
              <c:tx>
                <c:rich>
                  <a:bodyPr/>
                  <a:lstStyle/>
                  <a:p>
                    <a:fld id="{E57CA6F5-6175-454D-9D4D-A6C29FEF0E46}"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B75-4061-9CC7-99D0A693C405}"/>
                </c:ext>
              </c:extLst>
            </c:dLbl>
            <c:dLbl>
              <c:idx val="21"/>
              <c:tx>
                <c:rich>
                  <a:bodyPr/>
                  <a:lstStyle/>
                  <a:p>
                    <a:fld id="{296FA976-FEC7-4E59-AE08-326ADDAB7191}"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B75-4061-9CC7-99D0A693C40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2">
                        <a:lumMod val="50000"/>
                      </a:schemeClr>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Programm!$DC$32:$DY$32</c:f>
              <c:numCache>
                <c:formatCode>d/m/yy;@</c:formatCode>
                <c:ptCount val="23"/>
                <c:pt idx="0">
                  <c:v>45870</c:v>
                </c:pt>
                <c:pt idx="1">
                  <c:v>45870</c:v>
                </c:pt>
                <c:pt idx="2">
                  <c:v>45870</c:v>
                </c:pt>
                <c:pt idx="3">
                  <c:v>45870</c:v>
                </c:pt>
                <c:pt idx="4">
                  <c:v>45870</c:v>
                </c:pt>
                <c:pt idx="5">
                  <c:v>45870</c:v>
                </c:pt>
                <c:pt idx="6" formatCode="dd/mm/yy;@">
                  <c:v>45992</c:v>
                </c:pt>
                <c:pt idx="7" formatCode="dd/mm/yy;@">
                  <c:v>46266</c:v>
                </c:pt>
                <c:pt idx="8" formatCode="dd/mm/yy;@">
                  <c:v>46266</c:v>
                </c:pt>
                <c:pt idx="9" formatCode="dd/mm/yy;@">
                  <c:v>46266</c:v>
                </c:pt>
                <c:pt idx="10" formatCode="dd/mm/yy;@">
                  <c:v>46266</c:v>
                </c:pt>
                <c:pt idx="11" formatCode="dd/mm/yy;@">
                  <c:v>46266</c:v>
                </c:pt>
                <c:pt idx="12" formatCode="dd/mm/yy;@">
                  <c:v>46266</c:v>
                </c:pt>
                <c:pt idx="13" formatCode="dd/mm/yy;@">
                  <c:v>46266</c:v>
                </c:pt>
                <c:pt idx="14" formatCode="dd/mm/yy;@">
                  <c:v>46266</c:v>
                </c:pt>
                <c:pt idx="15" formatCode="dd/mm/yy;@">
                  <c:v>46266</c:v>
                </c:pt>
                <c:pt idx="16" formatCode="dd/mm/yy;@">
                  <c:v>46266</c:v>
                </c:pt>
                <c:pt idx="17" formatCode="dd/mm/yy;@">
                  <c:v>46266</c:v>
                </c:pt>
                <c:pt idx="18" formatCode="dd/mm/yy;@">
                  <c:v>46266</c:v>
                </c:pt>
                <c:pt idx="19">
                  <c:v>46266</c:v>
                </c:pt>
                <c:pt idx="20">
                  <c:v>46266</c:v>
                </c:pt>
                <c:pt idx="21">
                  <c:v>46266</c:v>
                </c:pt>
                <c:pt idx="22">
                  <c:v>46266</c:v>
                </c:pt>
              </c:numCache>
            </c:numRef>
          </c:cat>
          <c:val>
            <c:numRef>
              <c:f>Programm!$DC$45:$DX$45</c:f>
              <c:numCache>
                <c:formatCode>General</c:formatCode>
                <c:ptCount val="22"/>
                <c:pt idx="11">
                  <c:v>0</c:v>
                </c:pt>
                <c:pt idx="12">
                  <c:v>0</c:v>
                </c:pt>
              </c:numCache>
            </c:numRef>
          </c:val>
          <c:extLst>
            <c:ext xmlns:c15="http://schemas.microsoft.com/office/drawing/2012/chart" uri="{02D57815-91ED-43cb-92C2-25804820EDAC}">
              <c15:datalabelsRange>
                <c15:f>Programm!$DC$46:$DX$46</c15:f>
                <c15:dlblRangeCache>
                  <c:ptCount val="22"/>
                </c15:dlblRangeCache>
              </c15:datalabelsRange>
            </c:ext>
            <c:ext xmlns:c16="http://schemas.microsoft.com/office/drawing/2014/chart" uri="{C3380CC4-5D6E-409C-BE32-E72D297353CC}">
              <c16:uniqueId val="{0000002B-22DB-4865-9913-8DFD34F049BA}"/>
            </c:ext>
          </c:extLst>
        </c:ser>
        <c:dLbls>
          <c:showLegendKey val="0"/>
          <c:showVal val="0"/>
          <c:showCatName val="0"/>
          <c:showSerName val="0"/>
          <c:showPercent val="0"/>
          <c:showBubbleSize val="0"/>
        </c:dLbls>
        <c:axId val="723245776"/>
        <c:axId val="723246760"/>
        <c:extLst>
          <c:ext xmlns:c15="http://schemas.microsoft.com/office/drawing/2012/chart" uri="{02D57815-91ED-43cb-92C2-25804820EDAC}">
            <c15:filteredAreaSeries>
              <c15:ser>
                <c:idx val="3"/>
                <c:order val="1"/>
                <c:tx>
                  <c:v>Termine Entwickl.stadium</c:v>
                </c:tx>
                <c:spPr>
                  <a:solidFill>
                    <a:schemeClr val="accent4"/>
                  </a:solidFill>
                  <a:ln w="25400">
                    <a:noFill/>
                  </a:ln>
                  <a:effectLst/>
                </c:spPr>
                <c:cat>
                  <c:numRef>
                    <c:extLst>
                      <c:ext uri="{02D57815-91ED-43cb-92C2-25804820EDAC}">
                        <c15:formulaRef>
                          <c15:sqref>Programm!$DC$32:$DY$32</c15:sqref>
                        </c15:formulaRef>
                      </c:ext>
                    </c:extLst>
                    <c:numCache>
                      <c:formatCode>d/m/yy;@</c:formatCode>
                      <c:ptCount val="23"/>
                      <c:pt idx="0">
                        <c:v>45870</c:v>
                      </c:pt>
                      <c:pt idx="1">
                        <c:v>45870</c:v>
                      </c:pt>
                      <c:pt idx="2">
                        <c:v>45870</c:v>
                      </c:pt>
                      <c:pt idx="3">
                        <c:v>45870</c:v>
                      </c:pt>
                      <c:pt idx="4">
                        <c:v>45870</c:v>
                      </c:pt>
                      <c:pt idx="5">
                        <c:v>45870</c:v>
                      </c:pt>
                      <c:pt idx="6" formatCode="dd/mm/yy;@">
                        <c:v>45992</c:v>
                      </c:pt>
                      <c:pt idx="7" formatCode="dd/mm/yy;@">
                        <c:v>46266</c:v>
                      </c:pt>
                      <c:pt idx="8" formatCode="dd/mm/yy;@">
                        <c:v>46266</c:v>
                      </c:pt>
                      <c:pt idx="9" formatCode="dd/mm/yy;@">
                        <c:v>46266</c:v>
                      </c:pt>
                      <c:pt idx="10" formatCode="dd/mm/yy;@">
                        <c:v>46266</c:v>
                      </c:pt>
                      <c:pt idx="11" formatCode="dd/mm/yy;@">
                        <c:v>46266</c:v>
                      </c:pt>
                      <c:pt idx="12" formatCode="dd/mm/yy;@">
                        <c:v>46266</c:v>
                      </c:pt>
                      <c:pt idx="13" formatCode="dd/mm/yy;@">
                        <c:v>46266</c:v>
                      </c:pt>
                      <c:pt idx="14" formatCode="dd/mm/yy;@">
                        <c:v>46266</c:v>
                      </c:pt>
                      <c:pt idx="15" formatCode="dd/mm/yy;@">
                        <c:v>46266</c:v>
                      </c:pt>
                      <c:pt idx="16" formatCode="dd/mm/yy;@">
                        <c:v>46266</c:v>
                      </c:pt>
                      <c:pt idx="17" formatCode="dd/mm/yy;@">
                        <c:v>46266</c:v>
                      </c:pt>
                      <c:pt idx="18" formatCode="dd/mm/yy;@">
                        <c:v>46266</c:v>
                      </c:pt>
                      <c:pt idx="19">
                        <c:v>46266</c:v>
                      </c:pt>
                      <c:pt idx="20">
                        <c:v>46266</c:v>
                      </c:pt>
                      <c:pt idx="21">
                        <c:v>46266</c:v>
                      </c:pt>
                      <c:pt idx="22">
                        <c:v>46266</c:v>
                      </c:pt>
                    </c:numCache>
                  </c:numRef>
                </c:cat>
                <c:val>
                  <c:numRef>
                    <c:extLst>
                      <c:ext uri="{02D57815-91ED-43cb-92C2-25804820EDAC}">
                        <c15:formulaRef>
                          <c15:sqref>Programm!$DC$25:$DX$25</c15:sqref>
                        </c15:formulaRef>
                      </c:ext>
                    </c:extLst>
                    <c:numCache>
                      <c:formatCode>General</c:formatCode>
                      <c:ptCount val="22"/>
                      <c:pt idx="3">
                        <c:v>0</c:v>
                      </c:pt>
                      <c:pt idx="8">
                        <c:v>0</c:v>
                      </c:pt>
                      <c:pt idx="13">
                        <c:v>0</c:v>
                      </c:pt>
                      <c:pt idx="18">
                        <c:v>0</c:v>
                      </c:pt>
                    </c:numCache>
                  </c:numRef>
                </c:val>
                <c:extLst>
                  <c:ext xmlns:c16="http://schemas.microsoft.com/office/drawing/2014/chart" uri="{C3380CC4-5D6E-409C-BE32-E72D297353CC}">
                    <c16:uniqueId val="{0000002C-22DB-4865-9913-8DFD34F049BA}"/>
                  </c:ext>
                </c:extLst>
              </c15:ser>
            </c15:filteredAreaSeries>
            <c15:filteredAreaSeries>
              <c15:ser>
                <c:idx val="4"/>
                <c:order val="2"/>
                <c:spPr>
                  <a:solidFill>
                    <a:schemeClr val="bg1">
                      <a:lumMod val="65000"/>
                      <a:alpha val="47000"/>
                    </a:schemeClr>
                  </a:solidFill>
                  <a:ln w="25400">
                    <a:noFill/>
                  </a:ln>
                  <a:effectLst/>
                </c:spPr>
                <c:dLbls>
                  <c:dLbl>
                    <c:idx val="0"/>
                    <c:tx>
                      <c:rich>
                        <a:bodyPr/>
                        <a:lstStyle/>
                        <a:p>
                          <a:fld id="{2AD43874-52C0-4D2B-81C1-163FED6BE138}" type="CELLRANGE">
                            <a:rPr lang="en-US"/>
                            <a:pPr/>
                            <a:t>[ZELLBEREICH]</a:t>
                          </a:fld>
                          <a:endParaRPr lang="de-DE"/>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00-FCDE-4795-8C07-869BEB9CBA0D}"/>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Programm!$DC$32:$DY$32</c15:sqref>
                        </c15:formulaRef>
                      </c:ext>
                    </c:extLst>
                    <c:numCache>
                      <c:formatCode>d/m/yy;@</c:formatCode>
                      <c:ptCount val="23"/>
                      <c:pt idx="0">
                        <c:v>45870</c:v>
                      </c:pt>
                      <c:pt idx="1">
                        <c:v>45870</c:v>
                      </c:pt>
                      <c:pt idx="2">
                        <c:v>45870</c:v>
                      </c:pt>
                      <c:pt idx="3">
                        <c:v>45870</c:v>
                      </c:pt>
                      <c:pt idx="4">
                        <c:v>45870</c:v>
                      </c:pt>
                      <c:pt idx="5">
                        <c:v>45870</c:v>
                      </c:pt>
                      <c:pt idx="6" formatCode="dd/mm/yy;@">
                        <c:v>45992</c:v>
                      </c:pt>
                      <c:pt idx="7" formatCode="dd/mm/yy;@">
                        <c:v>46266</c:v>
                      </c:pt>
                      <c:pt idx="8" formatCode="dd/mm/yy;@">
                        <c:v>46266</c:v>
                      </c:pt>
                      <c:pt idx="9" formatCode="dd/mm/yy;@">
                        <c:v>46266</c:v>
                      </c:pt>
                      <c:pt idx="10" formatCode="dd/mm/yy;@">
                        <c:v>46266</c:v>
                      </c:pt>
                      <c:pt idx="11" formatCode="dd/mm/yy;@">
                        <c:v>46266</c:v>
                      </c:pt>
                      <c:pt idx="12" formatCode="dd/mm/yy;@">
                        <c:v>46266</c:v>
                      </c:pt>
                      <c:pt idx="13" formatCode="dd/mm/yy;@">
                        <c:v>46266</c:v>
                      </c:pt>
                      <c:pt idx="14" formatCode="dd/mm/yy;@">
                        <c:v>46266</c:v>
                      </c:pt>
                      <c:pt idx="15" formatCode="dd/mm/yy;@">
                        <c:v>46266</c:v>
                      </c:pt>
                      <c:pt idx="16" formatCode="dd/mm/yy;@">
                        <c:v>46266</c:v>
                      </c:pt>
                      <c:pt idx="17" formatCode="dd/mm/yy;@">
                        <c:v>46266</c:v>
                      </c:pt>
                      <c:pt idx="18" formatCode="dd/mm/yy;@">
                        <c:v>46266</c:v>
                      </c:pt>
                      <c:pt idx="19">
                        <c:v>46266</c:v>
                      </c:pt>
                      <c:pt idx="20">
                        <c:v>46266</c:v>
                      </c:pt>
                      <c:pt idx="21">
                        <c:v>46266</c:v>
                      </c:pt>
                      <c:pt idx="22">
                        <c:v>46266</c:v>
                      </c:pt>
                    </c:numCache>
                  </c:numRef>
                </c:cat>
                <c:val>
                  <c:numRef>
                    <c:extLst xmlns:c15="http://schemas.microsoft.com/office/drawing/2012/chart">
                      <c:ext xmlns:c15="http://schemas.microsoft.com/office/drawing/2012/chart" uri="{02D57815-91ED-43cb-92C2-25804820EDAC}">
                        <c15:formulaRef>
                          <c15:sqref>Programm!$DC$34:$DY$34</c15:sqref>
                        </c15:formulaRef>
                      </c:ext>
                    </c:extLst>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5="http://schemas.microsoft.com/office/drawing/2012/chart">
                  <c:ext xmlns:c15="http://schemas.microsoft.com/office/drawing/2012/chart" uri="{02D57815-91ED-43cb-92C2-25804820EDAC}">
                    <c15:datalabelsRange>
                      <c15:f>Programm!$DC$43:$DX$43</c15:f>
                      <c15:dlblRangeCache>
                        <c:ptCount val="22"/>
                        <c:pt idx="14">
                          <c:v> </c:v>
                        </c:pt>
                      </c15:dlblRangeCache>
                    </c15:datalabelsRange>
                  </c:ext>
                  <c:ext xmlns:c16="http://schemas.microsoft.com/office/drawing/2014/chart" uri="{C3380CC4-5D6E-409C-BE32-E72D297353CC}">
                    <c16:uniqueId val="{0000002E-22DB-4865-9913-8DFD34F049BA}"/>
                  </c:ext>
                </c:extLst>
              </c15:ser>
            </c15:filteredAreaSeries>
            <c15:filteredAreaSeries>
              <c15:ser>
                <c:idx val="5"/>
                <c:order val="3"/>
                <c:tx>
                  <c:v>Entwicklungsstadium</c:v>
                </c:tx>
                <c:spPr>
                  <a:solidFill>
                    <a:schemeClr val="accent6"/>
                  </a:solidFill>
                  <a:ln w="25400">
                    <a:noFill/>
                  </a:ln>
                  <a:effectLst/>
                </c:spPr>
                <c:cat>
                  <c:numRef>
                    <c:extLst xmlns:c15="http://schemas.microsoft.com/office/drawing/2012/chart">
                      <c:ext xmlns:c15="http://schemas.microsoft.com/office/drawing/2012/chart" uri="{02D57815-91ED-43cb-92C2-25804820EDAC}">
                        <c15:formulaRef>
                          <c15:sqref>Programm!$DC$32:$DY$32</c15:sqref>
                        </c15:formulaRef>
                      </c:ext>
                    </c:extLst>
                    <c:numCache>
                      <c:formatCode>d/m/yy;@</c:formatCode>
                      <c:ptCount val="23"/>
                      <c:pt idx="0">
                        <c:v>45870</c:v>
                      </c:pt>
                      <c:pt idx="1">
                        <c:v>45870</c:v>
                      </c:pt>
                      <c:pt idx="2">
                        <c:v>45870</c:v>
                      </c:pt>
                      <c:pt idx="3">
                        <c:v>45870</c:v>
                      </c:pt>
                      <c:pt idx="4">
                        <c:v>45870</c:v>
                      </c:pt>
                      <c:pt idx="5">
                        <c:v>45870</c:v>
                      </c:pt>
                      <c:pt idx="6" formatCode="dd/mm/yy;@">
                        <c:v>45992</c:v>
                      </c:pt>
                      <c:pt idx="7" formatCode="dd/mm/yy;@">
                        <c:v>46266</c:v>
                      </c:pt>
                      <c:pt idx="8" formatCode="dd/mm/yy;@">
                        <c:v>46266</c:v>
                      </c:pt>
                      <c:pt idx="9" formatCode="dd/mm/yy;@">
                        <c:v>46266</c:v>
                      </c:pt>
                      <c:pt idx="10" formatCode="dd/mm/yy;@">
                        <c:v>46266</c:v>
                      </c:pt>
                      <c:pt idx="11" formatCode="dd/mm/yy;@">
                        <c:v>46266</c:v>
                      </c:pt>
                      <c:pt idx="12" formatCode="dd/mm/yy;@">
                        <c:v>46266</c:v>
                      </c:pt>
                      <c:pt idx="13" formatCode="dd/mm/yy;@">
                        <c:v>46266</c:v>
                      </c:pt>
                      <c:pt idx="14" formatCode="dd/mm/yy;@">
                        <c:v>46266</c:v>
                      </c:pt>
                      <c:pt idx="15" formatCode="dd/mm/yy;@">
                        <c:v>46266</c:v>
                      </c:pt>
                      <c:pt idx="16" formatCode="dd/mm/yy;@">
                        <c:v>46266</c:v>
                      </c:pt>
                      <c:pt idx="17" formatCode="dd/mm/yy;@">
                        <c:v>46266</c:v>
                      </c:pt>
                      <c:pt idx="18" formatCode="dd/mm/yy;@">
                        <c:v>46266</c:v>
                      </c:pt>
                      <c:pt idx="19">
                        <c:v>46266</c:v>
                      </c:pt>
                      <c:pt idx="20">
                        <c:v>46266</c:v>
                      </c:pt>
                      <c:pt idx="21">
                        <c:v>46266</c:v>
                      </c:pt>
                      <c:pt idx="22">
                        <c:v>46266</c:v>
                      </c:pt>
                    </c:numCache>
                  </c:numRef>
                </c:cat>
                <c:val>
                  <c:numRef>
                    <c:extLst xmlns:c15="http://schemas.microsoft.com/office/drawing/2012/chart">
                      <c:ext xmlns:c15="http://schemas.microsoft.com/office/drawing/2012/chart" uri="{02D57815-91ED-43cb-92C2-25804820EDAC}">
                        <c15:formulaRef>
                          <c15:sqref>Programm!$DI$24:$DX$24</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2F-22DB-4865-9913-8DFD34F049BA}"/>
                  </c:ext>
                </c:extLst>
              </c15:ser>
            </c15:filteredAreaSeries>
          </c:ext>
        </c:extLst>
      </c:areaChart>
      <c:dateAx>
        <c:axId val="723245776"/>
        <c:scaling>
          <c:orientation val="minMax"/>
          <c:min val="45870"/>
        </c:scaling>
        <c:delete val="1"/>
        <c:axPos val="b"/>
        <c:numFmt formatCode="[$-407]mmm/\ yy;@" sourceLinked="0"/>
        <c:majorTickMark val="out"/>
        <c:minorTickMark val="none"/>
        <c:tickLblPos val="nextTo"/>
        <c:crossAx val="723246760"/>
        <c:crossesAt val="-50"/>
        <c:auto val="0"/>
        <c:lblOffset val="100"/>
        <c:baseTimeUnit val="days"/>
        <c:majorUnit val="1"/>
        <c:majorTimeUnit val="months"/>
      </c:dateAx>
      <c:valAx>
        <c:axId val="723246760"/>
        <c:scaling>
          <c:orientation val="minMax"/>
          <c:max val="100"/>
          <c:min val="0"/>
        </c:scaling>
        <c:delete val="1"/>
        <c:axPos val="l"/>
        <c:numFmt formatCode="General" sourceLinked="1"/>
        <c:majorTickMark val="out"/>
        <c:minorTickMark val="none"/>
        <c:tickLblPos val="nextTo"/>
        <c:crossAx val="723245776"/>
        <c:crosses val="autoZero"/>
        <c:crossBetween val="between"/>
        <c:majorUnit val="50"/>
      </c:valAx>
      <c:spPr>
        <a:solidFill>
          <a:schemeClr val="accent1">
            <a:lumMod val="60000"/>
            <a:lumOff val="40000"/>
            <a:alpha val="21000"/>
          </a:schemeClr>
        </a:solidFill>
        <a:ln>
          <a:noFill/>
        </a:ln>
        <a:effectLst/>
      </c:spPr>
    </c:plotArea>
    <c:plotVisOnly val="0"/>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pPr>
      <a:endParaRPr lang="de-DE"/>
    </a:p>
  </c:txPr>
  <c:printSettings>
    <c:headerFooter/>
    <c:pageMargins b="0.78740157499999996" l="0.7" r="0.7" t="0.78740157499999996" header="0.3" footer="0.3"/>
    <c:pageSetup paperSize="9" orientation="landscape" horizontalDpi="300"/>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4796656519279941E-2"/>
          <c:y val="0.10710622739301319"/>
          <c:w val="0.93742714451954723"/>
          <c:h val="0.61955863317390858"/>
        </c:manualLayout>
      </c:layout>
      <c:areaChart>
        <c:grouping val="standard"/>
        <c:varyColors val="0"/>
        <c:ser>
          <c:idx val="0"/>
          <c:order val="0"/>
          <c:tx>
            <c:strRef>
              <c:f>Programm!$DA$50</c:f>
              <c:strCache>
                <c:ptCount val="1"/>
                <c:pt idx="0">
                  <c:v>Höhe Querbalken</c:v>
                </c:pt>
              </c:strCache>
            </c:strRef>
          </c:tx>
          <c:spPr>
            <a:noFill/>
            <a:ln w="25400">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0-BE23-4D45-8924-882BABBB5689}"/>
                </c:ext>
              </c:extLst>
            </c:dLbl>
            <c:dLbl>
              <c:idx val="1"/>
              <c:layout>
                <c:manualLayout>
                  <c:x val="-1.0441851466882995E-3"/>
                  <c:y val="2.9733833691209605E-2"/>
                </c:manualLayout>
              </c:layout>
              <c:tx>
                <c:rich>
                  <a:bodyPr rot="0" spcFirstLastPara="1" vertOverflow="clip" horzOverflow="clip" vert="horz" wrap="square" lIns="36576" tIns="18288" rIns="36576" bIns="18288" anchor="ctr" anchorCtr="1">
                    <a:spAutoFit/>
                  </a:bodyPr>
                  <a:lstStyle/>
                  <a:p>
                    <a:pPr>
                      <a:defRPr sz="1050" b="0" i="0" u="none" strike="noStrike" kern="1200" baseline="0">
                        <a:solidFill>
                          <a:schemeClr val="accent2">
                            <a:lumMod val="75000"/>
                          </a:schemeClr>
                        </a:solidFill>
                        <a:latin typeface="+mn-lt"/>
                        <a:ea typeface="+mn-ea"/>
                        <a:cs typeface="+mn-cs"/>
                      </a:defRPr>
                    </a:pPr>
                    <a:fld id="{5214311F-167E-406A-8D45-9A0EB8A80AA7}" type="CELLRANGE">
                      <a:rPr lang="en-US"/>
                      <a:pPr>
                        <a:defRPr sz="1050">
                          <a:solidFill>
                            <a:schemeClr val="accent2">
                              <a:lumMod val="75000"/>
                            </a:schemeClr>
                          </a:solidFill>
                        </a:defRPr>
                      </a:pPr>
                      <a:t>[ZELLBEREICH]</a:t>
                    </a:fld>
                    <a:endParaRPr lang="de-DE"/>
                  </a:p>
                </c:rich>
              </c:tx>
              <c:spPr>
                <a:noFill/>
                <a:ln>
                  <a:noFill/>
                </a:ln>
                <a:effectLst/>
              </c:spPr>
              <c:txPr>
                <a:bodyPr rot="0" spcFirstLastPara="1" vertOverflow="clip" horzOverflow="clip" vert="horz" wrap="square" lIns="36576" tIns="18288" rIns="36576" bIns="18288" anchor="ctr" anchorCtr="1">
                  <a:spAutoFit/>
                </a:bodyPr>
                <a:lstStyle/>
                <a:p>
                  <a:pPr>
                    <a:defRPr sz="1050" b="0" i="0" u="none" strike="noStrike" kern="1200" baseline="0">
                      <a:solidFill>
                        <a:schemeClr val="accent2">
                          <a:lumMod val="7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4.9958997233649334E-2"/>
                      <c:h val="0.51957750530125157"/>
                    </c:manualLayout>
                  </c15:layout>
                  <c15:dlblFieldTable/>
                  <c15:showDataLabelsRange val="1"/>
                </c:ext>
                <c:ext xmlns:c16="http://schemas.microsoft.com/office/drawing/2014/chart" uri="{C3380CC4-5D6E-409C-BE32-E72D297353CC}">
                  <c16:uniqueId val="{00000001-BE23-4D45-8924-882BABBB5689}"/>
                </c:ext>
              </c:extLst>
            </c:dLbl>
            <c:dLbl>
              <c:idx val="2"/>
              <c:layout>
                <c:manualLayout>
                  <c:x val="4.1271257051270155E-8"/>
                  <c:y val="2.5486412872607649E-2"/>
                </c:manualLayout>
              </c:layout>
              <c:tx>
                <c:rich>
                  <a:bodyPr rot="0" spcFirstLastPara="1" vertOverflow="clip" horzOverflow="clip" vert="horz" wrap="square" lIns="36576" tIns="18288" rIns="36576" bIns="18288" anchor="ctr" anchorCtr="1">
                    <a:spAutoFit/>
                  </a:bodyPr>
                  <a:lstStyle/>
                  <a:p>
                    <a:pPr>
                      <a:defRPr sz="1050" b="0" i="0" u="none" strike="noStrike" kern="1200" baseline="0">
                        <a:solidFill>
                          <a:schemeClr val="accent2">
                            <a:lumMod val="75000"/>
                          </a:schemeClr>
                        </a:solidFill>
                        <a:latin typeface="+mn-lt"/>
                        <a:ea typeface="+mn-ea"/>
                        <a:cs typeface="+mn-cs"/>
                      </a:defRPr>
                    </a:pPr>
                    <a:fld id="{58B9AB6F-C9C6-4AFB-B6CE-2BB465ECAD1F}" type="CELLRANGE">
                      <a:rPr lang="en-US"/>
                      <a:pPr>
                        <a:defRPr sz="1050">
                          <a:solidFill>
                            <a:schemeClr val="accent2">
                              <a:lumMod val="75000"/>
                            </a:schemeClr>
                          </a:solidFill>
                        </a:defRPr>
                      </a:pPr>
                      <a:t>[ZELLBEREICH]</a:t>
                    </a:fld>
                    <a:endParaRPr lang="de-DE"/>
                  </a:p>
                </c:rich>
              </c:tx>
              <c:spPr>
                <a:noFill/>
                <a:ln>
                  <a:noFill/>
                </a:ln>
                <a:effectLst/>
              </c:spPr>
              <c:txPr>
                <a:bodyPr rot="0" spcFirstLastPara="1" vertOverflow="clip" horzOverflow="clip" vert="horz" wrap="square" lIns="36576" tIns="18288" rIns="36576" bIns="18288" anchor="ctr" anchorCtr="1">
                  <a:spAutoFit/>
                </a:bodyPr>
                <a:lstStyle/>
                <a:p>
                  <a:pPr>
                    <a:defRPr sz="1050" b="0" i="0" u="none" strike="noStrike" kern="1200" baseline="0">
                      <a:solidFill>
                        <a:schemeClr val="accent2">
                          <a:lumMod val="7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5.5594694464344056E-2"/>
                      <c:h val="0.50784316970092103"/>
                    </c:manualLayout>
                  </c15:layout>
                  <c15:dlblFieldTable/>
                  <c15:showDataLabelsRange val="1"/>
                </c:ext>
                <c:ext xmlns:c16="http://schemas.microsoft.com/office/drawing/2014/chart" uri="{C3380CC4-5D6E-409C-BE32-E72D297353CC}">
                  <c16:uniqueId val="{00000002-BE23-4D45-8924-882BABBB5689}"/>
                </c:ext>
              </c:extLst>
            </c:dLbl>
            <c:dLbl>
              <c:idx val="3"/>
              <c:layout>
                <c:manualLayout>
                  <c:x val="3.9304865843511263E-5"/>
                  <c:y val="4.6080677463756201E-2"/>
                </c:manualLayout>
              </c:layout>
              <c:tx>
                <c:rich>
                  <a:bodyPr rot="0" spcFirstLastPara="1" vertOverflow="clip" horzOverflow="clip" vert="horz" wrap="square" lIns="36576" tIns="18288" rIns="36576" bIns="18288" anchor="t" anchorCtr="1">
                    <a:spAutoFit/>
                  </a:bodyPr>
                  <a:lstStyle/>
                  <a:p>
                    <a:pPr>
                      <a:defRPr sz="1050" b="0" i="0" u="none" strike="noStrike" kern="1200" baseline="0">
                        <a:solidFill>
                          <a:schemeClr val="accent2">
                            <a:lumMod val="75000"/>
                          </a:schemeClr>
                        </a:solidFill>
                        <a:latin typeface="+mn-lt"/>
                        <a:ea typeface="+mn-ea"/>
                        <a:cs typeface="+mn-cs"/>
                      </a:defRPr>
                    </a:pPr>
                    <a:fld id="{1492855C-95ED-4452-94FA-862B4513F1D4}" type="CELLRANGE">
                      <a:rPr lang="en-US" sz="1050">
                        <a:solidFill>
                          <a:schemeClr val="accent2">
                            <a:lumMod val="75000"/>
                          </a:schemeClr>
                        </a:solidFill>
                      </a:rPr>
                      <a:pPr>
                        <a:defRPr sz="1050">
                          <a:solidFill>
                            <a:schemeClr val="accent2">
                              <a:lumMod val="75000"/>
                            </a:schemeClr>
                          </a:solidFill>
                        </a:defRPr>
                      </a:pPr>
                      <a:t>[ZELLBEREICH]</a:t>
                    </a:fld>
                    <a:endParaRPr lang="de-DE"/>
                  </a:p>
                </c:rich>
              </c:tx>
              <c:spPr>
                <a:noFill/>
                <a:ln>
                  <a:noFill/>
                </a:ln>
                <a:effectLst/>
              </c:spPr>
              <c:txPr>
                <a:bodyPr rot="0" spcFirstLastPara="1" vertOverflow="clip" horzOverflow="clip" vert="horz" wrap="square" lIns="36576" tIns="18288" rIns="36576" bIns="18288" anchor="t" anchorCtr="1">
                  <a:spAutoFit/>
                </a:bodyPr>
                <a:lstStyle/>
                <a:p>
                  <a:pPr>
                    <a:defRPr sz="1050" b="0" i="0" u="none" strike="noStrike" kern="1200" baseline="0">
                      <a:solidFill>
                        <a:schemeClr val="accent2">
                          <a:lumMod val="7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6.1588255053775146E-2"/>
                      <c:h val="0.54798439889034356"/>
                    </c:manualLayout>
                  </c15:layout>
                  <c15:dlblFieldTable/>
                  <c15:showDataLabelsRange val="1"/>
                </c:ext>
                <c:ext xmlns:c16="http://schemas.microsoft.com/office/drawing/2014/chart" uri="{C3380CC4-5D6E-409C-BE32-E72D297353CC}">
                  <c16:uniqueId val="{00000003-BE23-4D45-8924-882BABBB5689}"/>
                </c:ext>
              </c:extLst>
            </c:dLbl>
            <c:dLbl>
              <c:idx val="4"/>
              <c:layout>
                <c:manualLayout>
                  <c:x val="4.9818534409779079E-4"/>
                  <c:y val="4.5174261403688763E-2"/>
                </c:manualLayout>
              </c:layout>
              <c:tx>
                <c:rich>
                  <a:bodyPr rot="0" spcFirstLastPara="1" vertOverflow="clip" horzOverflow="clip" vert="horz" wrap="square" lIns="36576" tIns="18288" rIns="36576" bIns="18288" anchor="t" anchorCtr="1">
                    <a:spAutoFit/>
                  </a:bodyPr>
                  <a:lstStyle/>
                  <a:p>
                    <a:pPr>
                      <a:defRPr sz="1050" b="0" i="0" u="none" strike="noStrike" kern="1200" baseline="0">
                        <a:solidFill>
                          <a:schemeClr val="accent2">
                            <a:lumMod val="75000"/>
                          </a:schemeClr>
                        </a:solidFill>
                        <a:latin typeface="+mn-lt"/>
                        <a:ea typeface="+mn-ea"/>
                        <a:cs typeface="+mn-cs"/>
                      </a:defRPr>
                    </a:pPr>
                    <a:fld id="{CD68A7B2-9233-4CB4-85D9-229146376C0E}" type="CELLRANGE">
                      <a:rPr lang="en-US" sz="1050">
                        <a:solidFill>
                          <a:schemeClr val="accent2">
                            <a:lumMod val="75000"/>
                          </a:schemeClr>
                        </a:solidFill>
                      </a:rPr>
                      <a:pPr>
                        <a:defRPr sz="1050">
                          <a:solidFill>
                            <a:schemeClr val="accent2">
                              <a:lumMod val="75000"/>
                            </a:schemeClr>
                          </a:solidFill>
                        </a:defRPr>
                      </a:pPr>
                      <a:t>[ZELLBEREICH]</a:t>
                    </a:fld>
                    <a:endParaRPr lang="de-DE"/>
                  </a:p>
                </c:rich>
              </c:tx>
              <c:spPr>
                <a:noFill/>
                <a:ln>
                  <a:noFill/>
                </a:ln>
                <a:effectLst/>
              </c:spPr>
              <c:txPr>
                <a:bodyPr rot="0" spcFirstLastPara="1" vertOverflow="clip" horzOverflow="clip" vert="horz" wrap="square" lIns="36576" tIns="18288" rIns="36576" bIns="18288" anchor="t" anchorCtr="1">
                  <a:spAutoFit/>
                </a:bodyPr>
                <a:lstStyle/>
                <a:p>
                  <a:pPr>
                    <a:defRPr sz="1050" b="0" i="0" u="none" strike="noStrike" kern="1200" baseline="0">
                      <a:solidFill>
                        <a:schemeClr val="accent2">
                          <a:lumMod val="7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5.9991067694934154E-2"/>
                      <c:h val="0.54008548895265995"/>
                    </c:manualLayout>
                  </c15:layout>
                  <c15:dlblFieldTable/>
                  <c15:showDataLabelsRange val="1"/>
                </c:ext>
                <c:ext xmlns:c16="http://schemas.microsoft.com/office/drawing/2014/chart" uri="{C3380CC4-5D6E-409C-BE32-E72D297353CC}">
                  <c16:uniqueId val="{00000000-7CE8-4DE1-A4BB-8D75DC25FA48}"/>
                </c:ext>
              </c:extLst>
            </c:dLbl>
            <c:dLbl>
              <c:idx val="5"/>
              <c:delete val="1"/>
              <c:extLst>
                <c:ext xmlns:c15="http://schemas.microsoft.com/office/drawing/2012/chart" uri="{CE6537A1-D6FC-4f65-9D91-7224C49458BB}"/>
                <c:ext xmlns:c16="http://schemas.microsoft.com/office/drawing/2014/chart" uri="{C3380CC4-5D6E-409C-BE32-E72D297353CC}">
                  <c16:uniqueId val="{00000001-7CE8-4DE1-A4BB-8D75DC25FA48}"/>
                </c:ext>
              </c:extLst>
            </c:dLbl>
            <c:spPr>
              <a:noFill/>
              <a:ln>
                <a:noFill/>
              </a:ln>
              <a:effectLst/>
            </c:spPr>
            <c:txPr>
              <a:bodyPr rot="0" spcFirstLastPara="1" vertOverflow="clip" horzOverflow="clip" vert="horz" wrap="square" lIns="36576" tIns="18288" rIns="36576" bIns="18288" anchor="ctr" anchorCtr="1">
                <a:spAutoFit/>
              </a:bodyPr>
              <a:lstStyle/>
              <a:p>
                <a:pPr>
                  <a:defRPr sz="1050" b="0" i="0" u="none" strike="noStrike" kern="1200" baseline="0">
                    <a:solidFill>
                      <a:schemeClr val="accent2">
                        <a:lumMod val="75000"/>
                      </a:schemeClr>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downArrowCallout">
                    <a:avLst/>
                  </a:prstGeom>
                  <a:noFill/>
                  <a:ln>
                    <a:noFill/>
                  </a:ln>
                </c15:spPr>
                <c15:showDataLabelsRange val="1"/>
                <c15:showLeaderLines val="1"/>
                <c15:leaderLines>
                  <c:spPr>
                    <a:ln w="31750" cap="flat" cmpd="sng" algn="ctr">
                      <a:solidFill>
                        <a:srgbClr val="ED7D31">
                          <a:lumMod val="75000"/>
                        </a:srgbClr>
                      </a:solidFill>
                      <a:round/>
                      <a:tailEnd type="triangle"/>
                    </a:ln>
                    <a:effectLst/>
                  </c:spPr>
                </c15:leaderLines>
              </c:ext>
            </c:extLst>
          </c:dLbls>
          <c:cat>
            <c:numRef>
              <c:f>Programm!$DC$49:$DH$49</c:f>
              <c:numCache>
                <c:formatCode>dd/mm/yy;@</c:formatCode>
                <c:ptCount val="6"/>
                <c:pt idx="0" formatCode="d/m/yy;@">
                  <c:v>45870</c:v>
                </c:pt>
                <c:pt idx="1">
                  <c:v>45870</c:v>
                </c:pt>
                <c:pt idx="2">
                  <c:v>45871</c:v>
                </c:pt>
                <c:pt idx="3">
                  <c:v>46266</c:v>
                </c:pt>
                <c:pt idx="4">
                  <c:v>46266</c:v>
                </c:pt>
                <c:pt idx="5" formatCode="d/m/yy;@">
                  <c:v>46266</c:v>
                </c:pt>
              </c:numCache>
            </c:numRef>
          </c:cat>
          <c:val>
            <c:numRef>
              <c:f>Programm!$DC$50:$DH$50</c:f>
              <c:numCache>
                <c:formatCode>General</c:formatCode>
                <c:ptCount val="6"/>
                <c:pt idx="0">
                  <c:v>100</c:v>
                </c:pt>
                <c:pt idx="1">
                  <c:v>0</c:v>
                </c:pt>
                <c:pt idx="2">
                  <c:v>0</c:v>
                </c:pt>
                <c:pt idx="3">
                  <c:v>0</c:v>
                </c:pt>
                <c:pt idx="4">
                  <c:v>0</c:v>
                </c:pt>
                <c:pt idx="5">
                  <c:v>100</c:v>
                </c:pt>
              </c:numCache>
            </c:numRef>
          </c:val>
          <c:extLst>
            <c:ext xmlns:c15="http://schemas.microsoft.com/office/drawing/2012/chart" uri="{02D57815-91ED-43cb-92C2-25804820EDAC}">
              <c15:datalabelsRange>
                <c15:f>Programm!$DC$51:$DH$51</c15:f>
                <c15:dlblRangeCache>
                  <c:ptCount val="6"/>
                </c15:dlblRangeCache>
              </c15:datalabelsRange>
            </c:ext>
            <c:ext xmlns:c16="http://schemas.microsoft.com/office/drawing/2014/chart" uri="{C3380CC4-5D6E-409C-BE32-E72D297353CC}">
              <c16:uniqueId val="{00000004-BE23-4D45-8924-882BABBB5689}"/>
            </c:ext>
          </c:extLst>
        </c:ser>
        <c:dLbls>
          <c:showLegendKey val="0"/>
          <c:showVal val="0"/>
          <c:showCatName val="0"/>
          <c:showSerName val="0"/>
          <c:showPercent val="0"/>
          <c:showBubbleSize val="0"/>
        </c:dLbls>
        <c:axId val="723245776"/>
        <c:axId val="723246760"/>
        <c:extLst/>
      </c:areaChart>
      <c:dateAx>
        <c:axId val="723245776"/>
        <c:scaling>
          <c:orientation val="minMax"/>
          <c:min val="45870"/>
        </c:scaling>
        <c:delete val="1"/>
        <c:axPos val="b"/>
        <c:numFmt formatCode="[$-407]mmm/\ yy;@" sourceLinked="0"/>
        <c:majorTickMark val="out"/>
        <c:minorTickMark val="none"/>
        <c:tickLblPos val="nextTo"/>
        <c:crossAx val="723246760"/>
        <c:crossesAt val="-50"/>
        <c:auto val="0"/>
        <c:lblOffset val="100"/>
        <c:baseTimeUnit val="days"/>
        <c:majorUnit val="1"/>
        <c:majorTimeUnit val="months"/>
      </c:dateAx>
      <c:valAx>
        <c:axId val="723246760"/>
        <c:scaling>
          <c:orientation val="minMax"/>
          <c:max val="100"/>
          <c:min val="-20"/>
        </c:scaling>
        <c:delete val="1"/>
        <c:axPos val="l"/>
        <c:numFmt formatCode="General" sourceLinked="1"/>
        <c:majorTickMark val="out"/>
        <c:minorTickMark val="none"/>
        <c:tickLblPos val="nextTo"/>
        <c:crossAx val="723245776"/>
        <c:crosses val="autoZero"/>
        <c:crossBetween val="between"/>
        <c:majorUnit val="50"/>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pPr>
      <a:endParaRPr lang="de-DE"/>
    </a:p>
  </c:txPr>
  <c:printSettings>
    <c:headerFooter/>
    <c:pageMargins b="0.78740157499999996" l="0.7" r="0.7" t="0.78740157499999996" header="0.3" footer="0.3"/>
    <c:pageSetup paperSize="9" orientation="landscape" horizontalDpi="300"/>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845180585873219E-2"/>
          <c:y val="0.10669434763277541"/>
          <c:w val="0.93663639491290607"/>
          <c:h val="0.64819284884471406"/>
        </c:manualLayout>
      </c:layout>
      <c:areaChart>
        <c:grouping val="standard"/>
        <c:varyColors val="0"/>
        <c:ser>
          <c:idx val="1"/>
          <c:order val="0"/>
          <c:tx>
            <c:v>Höhe Querbalken</c:v>
          </c:tx>
          <c:spPr>
            <a:solidFill>
              <a:schemeClr val="accent6">
                <a:lumMod val="75000"/>
                <a:alpha val="20000"/>
              </a:schemeClr>
            </a:solidFill>
            <a:ln w="25400">
              <a:noFill/>
            </a:ln>
            <a:effectLst/>
          </c:spPr>
          <c:dLbls>
            <c:dLbl>
              <c:idx val="0"/>
              <c:tx>
                <c:rich>
                  <a:bodyPr/>
                  <a:lstStyle/>
                  <a:p>
                    <a:fld id="{5D49AF96-D524-4C53-98E8-CB27DB94AC14}" type="CELLRANGE">
                      <a:rPr lang="en-US"/>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937B-42A6-8D61-8D5425DB27D4}"/>
                </c:ext>
              </c:extLst>
            </c:dLbl>
            <c:dLbl>
              <c:idx val="1"/>
              <c:tx>
                <c:rich>
                  <a:bodyPr/>
                  <a:lstStyle/>
                  <a:p>
                    <a:fld id="{921DBB3B-5F3E-4667-BFFC-5BA99BD0AC3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937B-42A6-8D61-8D5425DB27D4}"/>
                </c:ext>
              </c:extLst>
            </c:dLbl>
            <c:dLbl>
              <c:idx val="2"/>
              <c:tx>
                <c:rich>
                  <a:bodyPr/>
                  <a:lstStyle/>
                  <a:p>
                    <a:fld id="{42A8ADAD-5059-4C50-B74B-D95C729E78B5}"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937B-42A6-8D61-8D5425DB27D4}"/>
                </c:ext>
              </c:extLst>
            </c:dLbl>
            <c:dLbl>
              <c:idx val="3"/>
              <c:layout>
                <c:manualLayout>
                  <c:x val="0"/>
                  <c:y val="0.15021828964846159"/>
                </c:manualLayout>
              </c:layout>
              <c:tx>
                <c:rich>
                  <a:bodyPr/>
                  <a:lstStyle/>
                  <a:p>
                    <a:fld id="{BAC0FF93-C94F-4871-8C43-14778B14FAC2}" type="CELLRANGE">
                      <a:rPr lang="en-US"/>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937B-42A6-8D61-8D5425DB27D4}"/>
                </c:ext>
              </c:extLst>
            </c:dLbl>
            <c:dLbl>
              <c:idx val="4"/>
              <c:tx>
                <c:rich>
                  <a:bodyPr/>
                  <a:lstStyle/>
                  <a:p>
                    <a:fld id="{89B6AC6F-9E9C-42EF-B184-7CF66B799CC9}"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937B-42A6-8D61-8D5425DB27D4}"/>
                </c:ext>
              </c:extLst>
            </c:dLbl>
            <c:dLbl>
              <c:idx val="5"/>
              <c:tx>
                <c:rich>
                  <a:bodyPr/>
                  <a:lstStyle/>
                  <a:p>
                    <a:fld id="{15295086-811B-419B-BD5E-87B3BB7EE5C7}"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937B-42A6-8D61-8D5425DB27D4}"/>
                </c:ext>
              </c:extLst>
            </c:dLbl>
            <c:dLbl>
              <c:idx val="6"/>
              <c:tx>
                <c:rich>
                  <a:bodyPr/>
                  <a:lstStyle/>
                  <a:p>
                    <a:fld id="{0CD8ED71-D441-4157-AF7C-EB304D985676}"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937B-42A6-8D61-8D5425DB27D4}"/>
                </c:ext>
              </c:extLst>
            </c:dLbl>
            <c:dLbl>
              <c:idx val="7"/>
              <c:tx>
                <c:rich>
                  <a:bodyPr/>
                  <a:lstStyle/>
                  <a:p>
                    <a:fld id="{EB75E890-5EC1-4985-A451-6C6E1928268C}"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937B-42A6-8D61-8D5425DB27D4}"/>
                </c:ext>
              </c:extLst>
            </c:dLbl>
            <c:dLbl>
              <c:idx val="8"/>
              <c:layout>
                <c:manualLayout>
                  <c:x val="-5.6291491274580306E-4"/>
                  <c:y val="0.21011793540662949"/>
                </c:manualLayout>
              </c:layout>
              <c:tx>
                <c:rich>
                  <a:bodyPr rot="0" spcFirstLastPara="1" vertOverflow="ellipsis" vert="horz" wrap="square" lIns="38100" tIns="19050" rIns="38100" bIns="19050" anchor="t" anchorCtr="0">
                    <a:noAutofit/>
                  </a:bodyPr>
                  <a:lstStyle/>
                  <a:p>
                    <a:pPr>
                      <a:defRPr sz="1100" b="0" i="0" u="none" strike="noStrike" kern="1200" baseline="0">
                        <a:solidFill>
                          <a:schemeClr val="tx1">
                            <a:lumMod val="75000"/>
                            <a:lumOff val="25000"/>
                          </a:schemeClr>
                        </a:solidFill>
                        <a:latin typeface="+mn-lt"/>
                        <a:ea typeface="+mn-ea"/>
                        <a:cs typeface="+mn-cs"/>
                      </a:defRPr>
                    </a:pPr>
                    <a:fld id="{75BFC6E5-CB3A-43B6-B2A2-BA11EE95DEA2}" type="CELLRANGE">
                      <a:rPr lang="en-US"/>
                      <a:pPr>
                        <a:defRPr/>
                      </a:pPr>
                      <a:t>[ZELLBEREICH]</a:t>
                    </a:fld>
                    <a:endParaRPr lang="de-DE"/>
                  </a:p>
                </c:rich>
              </c:tx>
              <c:spPr>
                <a:noFill/>
                <a:ln>
                  <a:noFill/>
                </a:ln>
                <a:effectLst/>
              </c:spPr>
              <c:txPr>
                <a:bodyPr rot="0" spcFirstLastPara="1" vertOverflow="ellipsis" vert="horz" wrap="square" lIns="38100" tIns="19050" rIns="38100" bIns="19050" anchor="t" anchorCtr="0">
                  <a:noAutofit/>
                </a:bodyPr>
                <a:lstStyle/>
                <a:p>
                  <a:pPr>
                    <a:defRPr sz="11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layout>
                    <c:manualLayout>
                      <c:w val="5.7032200988035783E-2"/>
                      <c:h val="0.18515618043369131"/>
                    </c:manualLayout>
                  </c15:layout>
                  <c15:dlblFieldTable/>
                  <c15:showDataLabelsRange val="1"/>
                </c:ext>
                <c:ext xmlns:c16="http://schemas.microsoft.com/office/drawing/2014/chart" uri="{C3380CC4-5D6E-409C-BE32-E72D297353CC}">
                  <c16:uniqueId val="{00000048-937B-42A6-8D61-8D5425DB27D4}"/>
                </c:ext>
              </c:extLst>
            </c:dLbl>
            <c:dLbl>
              <c:idx val="9"/>
              <c:tx>
                <c:rich>
                  <a:bodyPr/>
                  <a:lstStyle/>
                  <a:p>
                    <a:fld id="{00BC19A9-6DEF-41E3-B82E-FF3C70FA7A59}"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937B-42A6-8D61-8D5425DB27D4}"/>
                </c:ext>
              </c:extLst>
            </c:dLbl>
            <c:dLbl>
              <c:idx val="10"/>
              <c:tx>
                <c:rich>
                  <a:bodyPr/>
                  <a:lstStyle/>
                  <a:p>
                    <a:fld id="{C8DC7E6E-A1DD-443A-8189-F145114FF21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937B-42A6-8D61-8D5425DB27D4}"/>
                </c:ext>
              </c:extLst>
            </c:dLbl>
            <c:dLbl>
              <c:idx val="11"/>
              <c:tx>
                <c:rich>
                  <a:bodyPr/>
                  <a:lstStyle/>
                  <a:p>
                    <a:fld id="{342D722A-87EF-4A83-824D-82BA78593C29}"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937B-42A6-8D61-8D5425DB27D4}"/>
                </c:ext>
              </c:extLst>
            </c:dLbl>
            <c:dLbl>
              <c:idx val="12"/>
              <c:tx>
                <c:rich>
                  <a:bodyPr/>
                  <a:lstStyle/>
                  <a:p>
                    <a:fld id="{2926E2B8-FB28-426A-8C8A-3354890ADA9D}"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937B-42A6-8D61-8D5425DB27D4}"/>
                </c:ext>
              </c:extLst>
            </c:dLbl>
            <c:dLbl>
              <c:idx val="13"/>
              <c:layout>
                <c:manualLayout>
                  <c:x val="8.7285157325772515E-8"/>
                  <c:y val="0.20012129240028675"/>
                </c:manualLayout>
              </c:layout>
              <c:tx>
                <c:rich>
                  <a:bodyPr rot="0" spcFirstLastPara="1" vertOverflow="ellipsis" vert="horz" wrap="square" lIns="38100" tIns="19050" rIns="38100" bIns="19050" anchor="t" anchorCtr="1">
                    <a:noAutofit/>
                  </a:bodyPr>
                  <a:lstStyle/>
                  <a:p>
                    <a:pPr>
                      <a:defRPr sz="1100" b="0" i="0" u="none" strike="noStrike" kern="1200" baseline="0">
                        <a:solidFill>
                          <a:schemeClr val="tx1">
                            <a:lumMod val="75000"/>
                            <a:lumOff val="25000"/>
                          </a:schemeClr>
                        </a:solidFill>
                        <a:latin typeface="+mn-lt"/>
                        <a:ea typeface="+mn-ea"/>
                        <a:cs typeface="+mn-cs"/>
                      </a:defRPr>
                    </a:pPr>
                    <a:fld id="{29CCEB18-6E0B-41DC-9153-104D65BE2AB4}" type="CELLRANGE">
                      <a:rPr lang="en-US"/>
                      <a:pPr>
                        <a:defRPr/>
                      </a:pPr>
                      <a:t>[ZELLBEREICH]</a:t>
                    </a:fld>
                    <a:endParaRPr lang="de-DE"/>
                  </a:p>
                </c:rich>
              </c:tx>
              <c:spPr>
                <a:noFill/>
                <a:ln>
                  <a:noFill/>
                </a:ln>
                <a:effectLst/>
              </c:spPr>
              <c:txPr>
                <a:bodyPr rot="0" spcFirstLastPara="1" vertOverflow="ellipsis" vert="horz" wrap="square" lIns="38100" tIns="19050" rIns="38100" bIns="19050" anchor="t" anchorCtr="1">
                  <a:noAutofit/>
                </a:bodyPr>
                <a:lstStyle/>
                <a:p>
                  <a:pPr>
                    <a:defRPr sz="11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layout>
                    <c:manualLayout>
                      <c:w val="4.9939248064616908E-2"/>
                      <c:h val="0.16829213451830849"/>
                    </c:manualLayout>
                  </c15:layout>
                  <c15:dlblFieldTable/>
                  <c15:showDataLabelsRange val="1"/>
                </c:ext>
                <c:ext xmlns:c16="http://schemas.microsoft.com/office/drawing/2014/chart" uri="{C3380CC4-5D6E-409C-BE32-E72D297353CC}">
                  <c16:uniqueId val="{0000004C-937B-42A6-8D61-8D5425DB27D4}"/>
                </c:ext>
              </c:extLst>
            </c:dLbl>
            <c:dLbl>
              <c:idx val="14"/>
              <c:tx>
                <c:rich>
                  <a:bodyPr/>
                  <a:lstStyle/>
                  <a:p>
                    <a:fld id="{E609ACA4-F12E-48A0-8A40-4A48516A2951}"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937B-42A6-8D61-8D5425DB27D4}"/>
                </c:ext>
              </c:extLst>
            </c:dLbl>
            <c:dLbl>
              <c:idx val="15"/>
              <c:tx>
                <c:rich>
                  <a:bodyPr/>
                  <a:lstStyle/>
                  <a:p>
                    <a:fld id="{4B732583-511C-45BB-AAF8-80316A0B5BEC}"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937B-42A6-8D61-8D5425DB27D4}"/>
                </c:ext>
              </c:extLst>
            </c:dLbl>
            <c:dLbl>
              <c:idx val="16"/>
              <c:tx>
                <c:rich>
                  <a:bodyPr/>
                  <a:lstStyle/>
                  <a:p>
                    <a:fld id="{D4812A74-E0FD-4319-BDC1-6D4F4598347C}"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937B-42A6-8D61-8D5425DB27D4}"/>
                </c:ext>
              </c:extLst>
            </c:dLbl>
            <c:dLbl>
              <c:idx val="17"/>
              <c:tx>
                <c:rich>
                  <a:bodyPr/>
                  <a:lstStyle/>
                  <a:p>
                    <a:fld id="{B60DAB60-ECCA-4408-86B8-6D0D7E494FA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4D8-423D-A800-A32985F26998}"/>
                </c:ext>
              </c:extLst>
            </c:dLbl>
            <c:dLbl>
              <c:idx val="18"/>
              <c:layout>
                <c:manualLayout>
                  <c:x val="2.1252538227313506E-3"/>
                  <c:y val="0.16967726754031412"/>
                </c:manualLayout>
              </c:layout>
              <c:tx>
                <c:rich>
                  <a:bodyPr rot="0" spcFirstLastPara="1" vertOverflow="ellipsis" vert="horz" wrap="square" lIns="38100" tIns="19050" rIns="38100" bIns="19050" anchor="t" anchorCtr="1">
                    <a:noAutofit/>
                  </a:bodyPr>
                  <a:lstStyle/>
                  <a:p>
                    <a:pPr>
                      <a:defRPr sz="1100" b="0" i="0" u="none" strike="noStrike" kern="1200" baseline="0">
                        <a:solidFill>
                          <a:schemeClr val="tx1">
                            <a:lumMod val="75000"/>
                            <a:lumOff val="25000"/>
                          </a:schemeClr>
                        </a:solidFill>
                        <a:latin typeface="+mn-lt"/>
                        <a:ea typeface="+mn-ea"/>
                        <a:cs typeface="+mn-cs"/>
                      </a:defRPr>
                    </a:pPr>
                    <a:fld id="{9EA607C5-92BC-4C7C-ACEE-99B9C9E439E8}" type="CELLRANGE">
                      <a:rPr lang="en-US"/>
                      <a:pPr>
                        <a:defRPr/>
                      </a:pPr>
                      <a:t>[ZELLBEREICH]</a:t>
                    </a:fld>
                    <a:endParaRPr lang="de-DE"/>
                  </a:p>
                </c:rich>
              </c:tx>
              <c:spPr>
                <a:noFill/>
                <a:ln>
                  <a:noFill/>
                </a:ln>
                <a:effectLst/>
              </c:spPr>
              <c:txPr>
                <a:bodyPr rot="0" spcFirstLastPara="1" vertOverflow="ellipsis" vert="horz" wrap="square" lIns="38100" tIns="19050" rIns="38100" bIns="19050" anchor="t" anchorCtr="1">
                  <a:noAutofit/>
                </a:bodyPr>
                <a:lstStyle/>
                <a:p>
                  <a:pPr>
                    <a:defRPr sz="11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layout>
                    <c:manualLayout>
                      <c:w val="4.9939237951148574E-2"/>
                      <c:h val="0.11179480003128048"/>
                    </c:manualLayout>
                  </c15:layout>
                  <c15:dlblFieldTable/>
                  <c15:showDataLabelsRange val="1"/>
                </c:ext>
                <c:ext xmlns:c16="http://schemas.microsoft.com/office/drawing/2014/chart" uri="{C3380CC4-5D6E-409C-BE32-E72D297353CC}">
                  <c16:uniqueId val="{00000000-F83E-4D25-981A-6DF0AC6F6C25}"/>
                </c:ext>
              </c:extLst>
            </c:dLbl>
            <c:dLbl>
              <c:idx val="19"/>
              <c:tx>
                <c:rich>
                  <a:bodyPr/>
                  <a:lstStyle/>
                  <a:p>
                    <a:fld id="{7FCA0E62-54DF-4B67-BDF2-1B1BDD5BB867}"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4D8-423D-A800-A32985F26998}"/>
                </c:ext>
              </c:extLst>
            </c:dLbl>
            <c:dLbl>
              <c:idx val="20"/>
              <c:tx>
                <c:rich>
                  <a:bodyPr/>
                  <a:lstStyle/>
                  <a:p>
                    <a:fld id="{09AA8225-F7B7-4C93-9B03-63140B589AE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4D8-423D-A800-A32985F26998}"/>
                </c:ext>
              </c:extLst>
            </c:dLbl>
            <c:dLbl>
              <c:idx val="21"/>
              <c:tx>
                <c:rich>
                  <a:bodyPr/>
                  <a:lstStyle/>
                  <a:p>
                    <a:fld id="{E3F501A4-DCB3-4BEF-9EC1-94462EBC9656}"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4D8-423D-A800-A32985F26998}"/>
                </c:ext>
              </c:extLst>
            </c:dLbl>
            <c:spPr>
              <a:noFill/>
              <a:ln>
                <a:noFill/>
              </a:ln>
              <a:effectLst/>
            </c:spPr>
            <c:txPr>
              <a:bodyPr rot="0" spcFirstLastPara="1" vertOverflow="ellipsis" vert="horz" wrap="square" lIns="38100" tIns="19050" rIns="38100" bIns="19050" anchor="t" anchorCtr="1">
                <a:spAutoFit/>
              </a:bodyPr>
              <a:lstStyle/>
              <a:p>
                <a:pPr>
                  <a:defRPr sz="11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noFill/>
                      <a:round/>
                    </a:ln>
                    <a:effectLst/>
                  </c:spPr>
                </c15:leaderLines>
              </c:ext>
            </c:extLst>
          </c:dLbls>
          <c:cat>
            <c:numRef>
              <c:f>Programm!$DC$9:$DX$9</c:f>
              <c:numCache>
                <c:formatCode>d/m/yy;@</c:formatCode>
                <c:ptCount val="22"/>
                <c:pt idx="0">
                  <c:v>45870</c:v>
                </c:pt>
                <c:pt idx="1">
                  <c:v>45870</c:v>
                </c:pt>
                <c:pt idx="2">
                  <c:v>45870</c:v>
                </c:pt>
                <c:pt idx="3">
                  <c:v>45870</c:v>
                </c:pt>
                <c:pt idx="4">
                  <c:v>45870</c:v>
                </c:pt>
                <c:pt idx="5">
                  <c:v>45870</c:v>
                </c:pt>
                <c:pt idx="6">
                  <c:v>46266</c:v>
                </c:pt>
                <c:pt idx="7">
                  <c:v>46266</c:v>
                </c:pt>
                <c:pt idx="8">
                  <c:v>46266</c:v>
                </c:pt>
                <c:pt idx="9">
                  <c:v>46266</c:v>
                </c:pt>
                <c:pt idx="10">
                  <c:v>46266</c:v>
                </c:pt>
                <c:pt idx="11">
                  <c:v>46265</c:v>
                </c:pt>
                <c:pt idx="12">
                  <c:v>46265</c:v>
                </c:pt>
                <c:pt idx="13">
                  <c:v>46265</c:v>
                </c:pt>
                <c:pt idx="14">
                  <c:v>46265</c:v>
                </c:pt>
                <c:pt idx="15">
                  <c:v>46265</c:v>
                </c:pt>
                <c:pt idx="16">
                  <c:v>46266</c:v>
                </c:pt>
                <c:pt idx="17">
                  <c:v>46266</c:v>
                </c:pt>
                <c:pt idx="18">
                  <c:v>46266</c:v>
                </c:pt>
                <c:pt idx="19">
                  <c:v>46266</c:v>
                </c:pt>
                <c:pt idx="20">
                  <c:v>46266</c:v>
                </c:pt>
                <c:pt idx="21">
                  <c:v>46266</c:v>
                </c:pt>
              </c:numCache>
            </c:numRef>
          </c:cat>
          <c:val>
            <c:numRef>
              <c:f>Programm!$DC$15:$DX$15</c:f>
              <c:numCache>
                <c:formatCode>General</c:formatCode>
                <c:ptCount val="2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numCache>
            </c:numRef>
          </c:val>
          <c:extLst>
            <c:ext xmlns:c15="http://schemas.microsoft.com/office/drawing/2012/chart" uri="{02D57815-91ED-43cb-92C2-25804820EDAC}">
              <c15:datalabelsRange>
                <c15:f>Programm!$DC$16:$DX$16</c15:f>
                <c15:dlblRangeCache>
                  <c:ptCount val="22"/>
                </c15:dlblRangeCache>
              </c15:datalabelsRange>
            </c:ext>
            <c:ext xmlns:c16="http://schemas.microsoft.com/office/drawing/2014/chart" uri="{C3380CC4-5D6E-409C-BE32-E72D297353CC}">
              <c16:uniqueId val="{00000000-F556-4645-83F9-77C59ECEFD7D}"/>
            </c:ext>
          </c:extLst>
        </c:ser>
        <c:ser>
          <c:idx val="0"/>
          <c:order val="1"/>
          <c:tx>
            <c:v>mineral. Düngeempf.</c:v>
          </c:tx>
          <c:spPr>
            <a:solidFill>
              <a:schemeClr val="accent6">
                <a:lumMod val="60000"/>
                <a:lumOff val="40000"/>
              </a:schemeClr>
            </a:solidFill>
            <a:ln>
              <a:noFill/>
            </a:ln>
            <a:effectLst/>
          </c:spPr>
          <c:dLbls>
            <c:dLbl>
              <c:idx val="0"/>
              <c:tx>
                <c:rich>
                  <a:bodyPr/>
                  <a:lstStyle/>
                  <a:p>
                    <a:fld id="{488D4A79-C397-4B28-818C-D2F0D9909B44}" type="CELLRANGE">
                      <a:rPr lang="en-US"/>
                      <a:pPr/>
                      <a:t>[ZELLBEREICH]</a:t>
                    </a:fld>
                    <a:endParaRPr lang="de-DE"/>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01-F556-4645-83F9-77C59ECEFD7D}"/>
                </c:ext>
              </c:extLst>
            </c:dLbl>
            <c:dLbl>
              <c:idx val="1"/>
              <c:tx>
                <c:rich>
                  <a:bodyPr/>
                  <a:lstStyle/>
                  <a:p>
                    <a:fld id="{2392C4E9-B00C-4237-A2DE-17BAABC02311}"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556-4645-83F9-77C59ECEFD7D}"/>
                </c:ext>
              </c:extLst>
            </c:dLbl>
            <c:dLbl>
              <c:idx val="2"/>
              <c:tx>
                <c:rich>
                  <a:bodyPr/>
                  <a:lstStyle/>
                  <a:p>
                    <a:fld id="{E1C1539B-D4B4-40AB-B3EC-7BF672836793}"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556-4645-83F9-77C59ECEFD7D}"/>
                </c:ext>
              </c:extLst>
            </c:dLbl>
            <c:dLbl>
              <c:idx val="3"/>
              <c:tx>
                <c:rich>
                  <a:bodyPr/>
                  <a:lstStyle/>
                  <a:p>
                    <a:fld id="{681095AC-5194-4BC7-B870-47D6DE0A1219}"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556-4645-83F9-77C59ECEFD7D}"/>
                </c:ext>
              </c:extLst>
            </c:dLbl>
            <c:dLbl>
              <c:idx val="4"/>
              <c:tx>
                <c:rich>
                  <a:bodyPr/>
                  <a:lstStyle/>
                  <a:p>
                    <a:fld id="{43C003C0-5176-4BB3-9221-EF347870AE28}"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556-4645-83F9-77C59ECEFD7D}"/>
                </c:ext>
              </c:extLst>
            </c:dLbl>
            <c:dLbl>
              <c:idx val="5"/>
              <c:tx>
                <c:rich>
                  <a:bodyPr/>
                  <a:lstStyle/>
                  <a:p>
                    <a:fld id="{6388EF12-0DE7-4A46-A3B5-60C7132B215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556-4645-83F9-77C59ECEFD7D}"/>
                </c:ext>
              </c:extLst>
            </c:dLbl>
            <c:dLbl>
              <c:idx val="6"/>
              <c:tx>
                <c:rich>
                  <a:bodyPr/>
                  <a:lstStyle/>
                  <a:p>
                    <a:fld id="{D7B8C804-7168-4BE3-B96B-05832AFC57A3}"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556-4645-83F9-77C59ECEFD7D}"/>
                </c:ext>
              </c:extLst>
            </c:dLbl>
            <c:dLbl>
              <c:idx val="7"/>
              <c:tx>
                <c:rich>
                  <a:bodyPr/>
                  <a:lstStyle/>
                  <a:p>
                    <a:fld id="{13129541-3BB6-4B1D-9EC4-B88DCBA0DD4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556-4645-83F9-77C59ECEFD7D}"/>
                </c:ext>
              </c:extLst>
            </c:dLbl>
            <c:dLbl>
              <c:idx val="8"/>
              <c:tx>
                <c:rich>
                  <a:bodyPr/>
                  <a:lstStyle/>
                  <a:p>
                    <a:fld id="{91083287-A987-454D-92EC-203AA2E3D523}"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556-4645-83F9-77C59ECEFD7D}"/>
                </c:ext>
              </c:extLst>
            </c:dLbl>
            <c:dLbl>
              <c:idx val="9"/>
              <c:tx>
                <c:rich>
                  <a:bodyPr/>
                  <a:lstStyle/>
                  <a:p>
                    <a:fld id="{D7148964-0461-4096-A4F9-7316889480F4}"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556-4645-83F9-77C59ECEFD7D}"/>
                </c:ext>
              </c:extLst>
            </c:dLbl>
            <c:dLbl>
              <c:idx val="10"/>
              <c:tx>
                <c:rich>
                  <a:bodyPr/>
                  <a:lstStyle/>
                  <a:p>
                    <a:fld id="{859C48AD-DDA4-434A-BC12-6E970C11D97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556-4645-83F9-77C59ECEFD7D}"/>
                </c:ext>
              </c:extLst>
            </c:dLbl>
            <c:dLbl>
              <c:idx val="11"/>
              <c:tx>
                <c:rich>
                  <a:bodyPr/>
                  <a:lstStyle/>
                  <a:p>
                    <a:fld id="{B029E77D-1423-4326-B5D6-1BBBB27F8DFC}"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556-4645-83F9-77C59ECEFD7D}"/>
                </c:ext>
              </c:extLst>
            </c:dLbl>
            <c:dLbl>
              <c:idx val="12"/>
              <c:tx>
                <c:rich>
                  <a:bodyPr/>
                  <a:lstStyle/>
                  <a:p>
                    <a:fld id="{57CA5F2B-EA39-4AD7-9D38-E77B2ED76509}"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556-4645-83F9-77C59ECEFD7D}"/>
                </c:ext>
              </c:extLst>
            </c:dLbl>
            <c:dLbl>
              <c:idx val="13"/>
              <c:tx>
                <c:rich>
                  <a:bodyPr/>
                  <a:lstStyle/>
                  <a:p>
                    <a:fld id="{94AA948B-0CDC-461A-88E4-C14F40C7A794}"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556-4645-83F9-77C59ECEFD7D}"/>
                </c:ext>
              </c:extLst>
            </c:dLbl>
            <c:dLbl>
              <c:idx val="14"/>
              <c:tx>
                <c:rich>
                  <a:bodyPr/>
                  <a:lstStyle/>
                  <a:p>
                    <a:fld id="{121AF74E-F169-45AA-9C67-438C6C041AE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556-4645-83F9-77C59ECEFD7D}"/>
                </c:ext>
              </c:extLst>
            </c:dLbl>
            <c:dLbl>
              <c:idx val="15"/>
              <c:tx>
                <c:rich>
                  <a:bodyPr/>
                  <a:lstStyle/>
                  <a:p>
                    <a:fld id="{88D6D456-25F5-4F43-BA43-2E20684C82B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556-4645-83F9-77C59ECEFD7D}"/>
                </c:ext>
              </c:extLst>
            </c:dLbl>
            <c:dLbl>
              <c:idx val="16"/>
              <c:tx>
                <c:rich>
                  <a:bodyPr/>
                  <a:lstStyle/>
                  <a:p>
                    <a:fld id="{F1AF44A3-2B90-46AA-B059-BB4634ED6D79}"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556-4645-83F9-77C59ECEFD7D}"/>
                </c:ext>
              </c:extLst>
            </c:dLbl>
            <c:dLbl>
              <c:idx val="17"/>
              <c:tx>
                <c:rich>
                  <a:bodyPr/>
                  <a:lstStyle/>
                  <a:p>
                    <a:fld id="{13B7FE19-1437-4DD4-AC1D-316163D71507}"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4D8-423D-A800-A32985F26998}"/>
                </c:ext>
              </c:extLst>
            </c:dLbl>
            <c:dLbl>
              <c:idx val="18"/>
              <c:delete val="1"/>
              <c:extLst>
                <c:ext xmlns:c15="http://schemas.microsoft.com/office/drawing/2012/chart" uri="{CE6537A1-D6FC-4f65-9D91-7224C49458BB}"/>
                <c:ext xmlns:c16="http://schemas.microsoft.com/office/drawing/2014/chart" uri="{C3380CC4-5D6E-409C-BE32-E72D297353CC}">
                  <c16:uniqueId val="{00000001-F83E-4D25-981A-6DF0AC6F6C25}"/>
                </c:ext>
              </c:extLst>
            </c:dLbl>
            <c:dLbl>
              <c:idx val="19"/>
              <c:tx>
                <c:rich>
                  <a:bodyPr/>
                  <a:lstStyle/>
                  <a:p>
                    <a:fld id="{A6B5C0BF-C4D9-494C-A7C4-7680727165B9}"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4D8-423D-A800-A32985F26998}"/>
                </c:ext>
              </c:extLst>
            </c:dLbl>
            <c:dLbl>
              <c:idx val="20"/>
              <c:tx>
                <c:rich>
                  <a:bodyPr/>
                  <a:lstStyle/>
                  <a:p>
                    <a:fld id="{81708442-E902-445F-A381-4C8340FBE3B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4D8-423D-A800-A32985F26998}"/>
                </c:ext>
              </c:extLst>
            </c:dLbl>
            <c:dLbl>
              <c:idx val="21"/>
              <c:tx>
                <c:rich>
                  <a:bodyPr/>
                  <a:lstStyle/>
                  <a:p>
                    <a:fld id="{3A63107F-A1B9-4E41-B132-E72F059BB66C}"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4D8-423D-A800-A32985F26998}"/>
                </c:ext>
              </c:extLst>
            </c:dLbl>
            <c:spPr>
              <a:noFill/>
              <a:ln>
                <a:noFill/>
              </a:ln>
              <a:effectLst/>
            </c:spPr>
            <c:txPr>
              <a:bodyPr rot="0" spcFirstLastPara="1" vertOverflow="overflow" horzOverflow="overflow" vert="horz" wrap="square" lIns="38100" tIns="19050" rIns="38100" bIns="19050" anchor="t" anchorCtr="0">
                <a:spAutoFit/>
              </a:bodyPr>
              <a:lstStyle/>
              <a:p>
                <a:pPr>
                  <a:defRPr sz="2000" b="0" i="0" u="none" strike="noStrike" kern="1200" baseline="0">
                    <a:solidFill>
                      <a:sysClr val="windowText" lastClr="000000"/>
                    </a:solidFill>
                    <a:latin typeface="+mn-lt"/>
                    <a:ea typeface="+mn-ea"/>
                    <a:cs typeface="+mn-cs"/>
                  </a:defRPr>
                </a:pPr>
                <a:endParaRPr lang="de-DE"/>
              </a:p>
            </c:txPr>
            <c:showLegendKey val="0"/>
            <c:showVal val="0"/>
            <c:showCatName val="0"/>
            <c:showSerName val="0"/>
            <c:showPercent val="0"/>
            <c:showBubbleSize val="0"/>
            <c:showLeaderLines val="0"/>
            <c:extLst xmlns:c15="http://schemas.microsoft.com/office/drawing/2012/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Programm!$DC$9:$DX$9</c:f>
              <c:numCache>
                <c:formatCode>d/m/yy;@</c:formatCode>
                <c:ptCount val="22"/>
                <c:pt idx="0">
                  <c:v>45870</c:v>
                </c:pt>
                <c:pt idx="1">
                  <c:v>45870</c:v>
                </c:pt>
                <c:pt idx="2">
                  <c:v>45870</c:v>
                </c:pt>
                <c:pt idx="3">
                  <c:v>45870</c:v>
                </c:pt>
                <c:pt idx="4">
                  <c:v>45870</c:v>
                </c:pt>
                <c:pt idx="5">
                  <c:v>45870</c:v>
                </c:pt>
                <c:pt idx="6">
                  <c:v>46266</c:v>
                </c:pt>
                <c:pt idx="7">
                  <c:v>46266</c:v>
                </c:pt>
                <c:pt idx="8">
                  <c:v>46266</c:v>
                </c:pt>
                <c:pt idx="9">
                  <c:v>46266</c:v>
                </c:pt>
                <c:pt idx="10">
                  <c:v>46266</c:v>
                </c:pt>
                <c:pt idx="11">
                  <c:v>46265</c:v>
                </c:pt>
                <c:pt idx="12">
                  <c:v>46265</c:v>
                </c:pt>
                <c:pt idx="13">
                  <c:v>46265</c:v>
                </c:pt>
                <c:pt idx="14">
                  <c:v>46265</c:v>
                </c:pt>
                <c:pt idx="15">
                  <c:v>46265</c:v>
                </c:pt>
                <c:pt idx="16">
                  <c:v>46266</c:v>
                </c:pt>
                <c:pt idx="17">
                  <c:v>46266</c:v>
                </c:pt>
                <c:pt idx="18">
                  <c:v>46266</c:v>
                </c:pt>
                <c:pt idx="19">
                  <c:v>46266</c:v>
                </c:pt>
                <c:pt idx="20">
                  <c:v>46266</c:v>
                </c:pt>
                <c:pt idx="21">
                  <c:v>46266</c:v>
                </c:pt>
              </c:numCache>
              <c:extLst xmlns:c15="http://schemas.microsoft.com/office/drawing/2012/chart"/>
            </c:numRef>
          </c:cat>
          <c:val>
            <c:numRef>
              <c:f>Programm!$DC$10:$DX$10</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extLst xmlns:c15="http://schemas.microsoft.com/office/drawing/2012/chart"/>
            </c:numRef>
          </c:val>
          <c:extLst xmlns:c15="http://schemas.microsoft.com/office/drawing/2012/chart">
            <c:ext xmlns:c15="http://schemas.microsoft.com/office/drawing/2012/chart" uri="{02D57815-91ED-43cb-92C2-25804820EDAC}">
              <c15:datalabelsRange>
                <c15:f>Programm!$DC$18:$DX$18</c15:f>
                <c15:dlblRangeCache>
                  <c:ptCount val="22"/>
                </c15:dlblRangeCache>
              </c15:datalabelsRange>
            </c:ext>
            <c:ext xmlns:c16="http://schemas.microsoft.com/office/drawing/2014/chart" uri="{C3380CC4-5D6E-409C-BE32-E72D297353CC}">
              <c16:uniqueId val="{00000015-F556-4645-83F9-77C59ECEFD7D}"/>
            </c:ext>
          </c:extLst>
        </c:ser>
        <c:ser>
          <c:idx val="5"/>
          <c:order val="4"/>
          <c:tx>
            <c:v>Entwicklungsstadium</c:v>
          </c:tx>
          <c:spPr>
            <a:solidFill>
              <a:schemeClr val="accent6"/>
            </a:solidFill>
            <a:ln w="25400">
              <a:noFill/>
            </a:ln>
            <a:effectLst/>
          </c:spPr>
          <c:cat>
            <c:numRef>
              <c:f>Programm!$DC$9:$DX$9</c:f>
              <c:numCache>
                <c:formatCode>d/m/yy;@</c:formatCode>
                <c:ptCount val="22"/>
                <c:pt idx="0">
                  <c:v>45870</c:v>
                </c:pt>
                <c:pt idx="1">
                  <c:v>45870</c:v>
                </c:pt>
                <c:pt idx="2">
                  <c:v>45870</c:v>
                </c:pt>
                <c:pt idx="3">
                  <c:v>45870</c:v>
                </c:pt>
                <c:pt idx="4">
                  <c:v>45870</c:v>
                </c:pt>
                <c:pt idx="5">
                  <c:v>45870</c:v>
                </c:pt>
                <c:pt idx="6">
                  <c:v>46266</c:v>
                </c:pt>
                <c:pt idx="7">
                  <c:v>46266</c:v>
                </c:pt>
                <c:pt idx="8">
                  <c:v>46266</c:v>
                </c:pt>
                <c:pt idx="9">
                  <c:v>46266</c:v>
                </c:pt>
                <c:pt idx="10">
                  <c:v>46266</c:v>
                </c:pt>
                <c:pt idx="11">
                  <c:v>46265</c:v>
                </c:pt>
                <c:pt idx="12">
                  <c:v>46265</c:v>
                </c:pt>
                <c:pt idx="13">
                  <c:v>46265</c:v>
                </c:pt>
                <c:pt idx="14">
                  <c:v>46265</c:v>
                </c:pt>
                <c:pt idx="15">
                  <c:v>46265</c:v>
                </c:pt>
                <c:pt idx="16">
                  <c:v>46266</c:v>
                </c:pt>
                <c:pt idx="17">
                  <c:v>46266</c:v>
                </c:pt>
                <c:pt idx="18">
                  <c:v>46266</c:v>
                </c:pt>
                <c:pt idx="19">
                  <c:v>46266</c:v>
                </c:pt>
                <c:pt idx="20">
                  <c:v>46266</c:v>
                </c:pt>
                <c:pt idx="21">
                  <c:v>46266</c:v>
                </c:pt>
              </c:numCache>
            </c:numRef>
          </c:cat>
          <c:val>
            <c:numRef>
              <c:f>Programm!$DC$24:$DX$24</c:f>
              <c:numCache>
                <c:formatCode>General</c:formatCode>
                <c:ptCount val="22"/>
              </c:numCache>
            </c:numRef>
          </c:val>
          <c:extLst>
            <c:ext xmlns:c16="http://schemas.microsoft.com/office/drawing/2014/chart" uri="{C3380CC4-5D6E-409C-BE32-E72D297353CC}">
              <c16:uniqueId val="{0000002D-F556-4645-83F9-77C59ECEFD7D}"/>
            </c:ext>
          </c:extLst>
        </c:ser>
        <c:ser>
          <c:idx val="6"/>
          <c:order val="5"/>
          <c:tx>
            <c:strRef>
              <c:f>Programm!$DA$21</c:f>
              <c:strCache>
                <c:ptCount val="1"/>
                <c:pt idx="0">
                  <c:v>Höhe Querbalken II</c:v>
                </c:pt>
              </c:strCache>
            </c:strRef>
          </c:tx>
          <c:spPr>
            <a:noFill/>
            <a:ln w="25400">
              <a:noFill/>
            </a:ln>
            <a:effectLst/>
          </c:spPr>
          <c:dLbls>
            <c:dLbl>
              <c:idx val="0"/>
              <c:tx>
                <c:rich>
                  <a:bodyPr/>
                  <a:lstStyle/>
                  <a:p>
                    <a:fld id="{4C6BD146-ECA3-4791-9090-94624AE49C86}" type="CELLRANGE">
                      <a:rPr lang="en-US"/>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FC7-4E3A-A2A4-8AC19F8C6487}"/>
                </c:ext>
              </c:extLst>
            </c:dLbl>
            <c:dLbl>
              <c:idx val="1"/>
              <c:tx>
                <c:rich>
                  <a:bodyPr/>
                  <a:lstStyle/>
                  <a:p>
                    <a:fld id="{0292B30F-2958-4612-9EC3-C7A21C8619C9}"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FC7-4E3A-A2A4-8AC19F8C6487}"/>
                </c:ext>
              </c:extLst>
            </c:dLbl>
            <c:dLbl>
              <c:idx val="2"/>
              <c:tx>
                <c:rich>
                  <a:bodyPr/>
                  <a:lstStyle/>
                  <a:p>
                    <a:fld id="{7F1227B4-9BB0-43C5-B703-B15605283754}"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FC7-4E3A-A2A4-8AC19F8C6487}"/>
                </c:ext>
              </c:extLst>
            </c:dLbl>
            <c:dLbl>
              <c:idx val="3"/>
              <c:tx>
                <c:rich>
                  <a:bodyPr/>
                  <a:lstStyle/>
                  <a:p>
                    <a:fld id="{25395C4F-9EB3-4609-AB64-4F5B462CECE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FC7-4E3A-A2A4-8AC19F8C6487}"/>
                </c:ext>
              </c:extLst>
            </c:dLbl>
            <c:dLbl>
              <c:idx val="4"/>
              <c:tx>
                <c:rich>
                  <a:bodyPr/>
                  <a:lstStyle/>
                  <a:p>
                    <a:fld id="{4BEB6410-56F3-497B-9A40-6A608F0A744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FC7-4E3A-A2A4-8AC19F8C6487}"/>
                </c:ext>
              </c:extLst>
            </c:dLbl>
            <c:dLbl>
              <c:idx val="5"/>
              <c:tx>
                <c:rich>
                  <a:bodyPr/>
                  <a:lstStyle/>
                  <a:p>
                    <a:fld id="{C704FDAF-BC0F-4A0E-96E6-79B5BC28D271}"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FC7-4E3A-A2A4-8AC19F8C6487}"/>
                </c:ext>
              </c:extLst>
            </c:dLbl>
            <c:dLbl>
              <c:idx val="6"/>
              <c:tx>
                <c:rich>
                  <a:bodyPr/>
                  <a:lstStyle/>
                  <a:p>
                    <a:fld id="{96607955-C61A-4B4B-9E00-5CE0E89BD661}"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FC7-4E3A-A2A4-8AC19F8C6487}"/>
                </c:ext>
              </c:extLst>
            </c:dLbl>
            <c:dLbl>
              <c:idx val="7"/>
              <c:tx>
                <c:rich>
                  <a:bodyPr/>
                  <a:lstStyle/>
                  <a:p>
                    <a:fld id="{ED8AC180-294D-484A-84B9-CBD53F29A585}"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FC7-4E3A-A2A4-8AC19F8C6487}"/>
                </c:ext>
              </c:extLst>
            </c:dLbl>
            <c:dLbl>
              <c:idx val="8"/>
              <c:layout>
                <c:manualLayout>
                  <c:x val="-5.2828173062224556E-4"/>
                  <c:y val="-6.4711282601190856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fld id="{544F358F-1083-4CEB-B236-69C24E164113}" type="CELLRANGE">
                      <a:rPr lang="en-US"/>
                      <a:pPr>
                        <a:defRPr b="1"/>
                      </a:pPr>
                      <a:t>[ZELLBEREICH]</a:t>
                    </a:fld>
                    <a:endParaRPr lang="de-DE"/>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layout>
                    <c:manualLayout>
                      <c:w val="2.7755626528938971E-2"/>
                      <c:h val="8.7854820342194981E-2"/>
                    </c:manualLayout>
                  </c15:layout>
                  <c15:dlblFieldTable/>
                  <c15:showDataLabelsRange val="1"/>
                </c:ext>
                <c:ext xmlns:c16="http://schemas.microsoft.com/office/drawing/2014/chart" uri="{C3380CC4-5D6E-409C-BE32-E72D297353CC}">
                  <c16:uniqueId val="{0000000A-4FC7-4E3A-A2A4-8AC19F8C6487}"/>
                </c:ext>
              </c:extLst>
            </c:dLbl>
            <c:dLbl>
              <c:idx val="9"/>
              <c:tx>
                <c:rich>
                  <a:bodyPr/>
                  <a:lstStyle/>
                  <a:p>
                    <a:fld id="{0DF87DCF-F000-4D76-99B5-EAD5594F27CD}"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FC7-4E3A-A2A4-8AC19F8C6487}"/>
                </c:ext>
              </c:extLst>
            </c:dLbl>
            <c:dLbl>
              <c:idx val="10"/>
              <c:tx>
                <c:rich>
                  <a:bodyPr/>
                  <a:lstStyle/>
                  <a:p>
                    <a:fld id="{08B235D0-870A-4DD0-B409-29835E1ADDF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FC7-4E3A-A2A4-8AC19F8C6487}"/>
                </c:ext>
              </c:extLst>
            </c:dLbl>
            <c:dLbl>
              <c:idx val="11"/>
              <c:tx>
                <c:rich>
                  <a:bodyPr/>
                  <a:lstStyle/>
                  <a:p>
                    <a:fld id="{FB95799A-1DBA-4987-9D5C-057A3C6C752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FC7-4E3A-A2A4-8AC19F8C6487}"/>
                </c:ext>
              </c:extLst>
            </c:dLbl>
            <c:dLbl>
              <c:idx val="12"/>
              <c:tx>
                <c:rich>
                  <a:bodyPr/>
                  <a:lstStyle/>
                  <a:p>
                    <a:fld id="{333B8A44-8675-4F06-BEA2-AAC937FF4C5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FC7-4E3A-A2A4-8AC19F8C6487}"/>
                </c:ext>
              </c:extLst>
            </c:dLbl>
            <c:dLbl>
              <c:idx val="13"/>
              <c:layout>
                <c:manualLayout>
                  <c:x val="-2.0875435308491206E-3"/>
                  <c:y val="-6.6608403106846056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fld id="{9BF9A767-DC99-4CEE-9A8E-06A7F97B6222}" type="CELLRANGE">
                      <a:rPr lang="en-US"/>
                      <a:pPr>
                        <a:defRPr b="1"/>
                      </a:pPr>
                      <a:t>[ZELLBEREICH]</a:t>
                    </a:fld>
                    <a:endParaRPr lang="de-DE"/>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layout>
                    <c:manualLayout>
                      <c:w val="2.8415504523529877E-2"/>
                      <c:h val="8.609395128662066E-2"/>
                    </c:manualLayout>
                  </c15:layout>
                  <c15:dlblFieldTable/>
                  <c15:showDataLabelsRange val="1"/>
                </c:ext>
                <c:ext xmlns:c16="http://schemas.microsoft.com/office/drawing/2014/chart" uri="{C3380CC4-5D6E-409C-BE32-E72D297353CC}">
                  <c16:uniqueId val="{0000000F-4FC7-4E3A-A2A4-8AC19F8C6487}"/>
                </c:ext>
              </c:extLst>
            </c:dLbl>
            <c:dLbl>
              <c:idx val="14"/>
              <c:tx>
                <c:rich>
                  <a:bodyPr/>
                  <a:lstStyle/>
                  <a:p>
                    <a:fld id="{1AA665F1-20E0-4083-8B07-AE1677B8BB9C}"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FC7-4E3A-A2A4-8AC19F8C6487}"/>
                </c:ext>
              </c:extLst>
            </c:dLbl>
            <c:dLbl>
              <c:idx val="15"/>
              <c:tx>
                <c:rich>
                  <a:bodyPr/>
                  <a:lstStyle/>
                  <a:p>
                    <a:fld id="{1666B5F5-CC71-4894-BF5F-427435F58C0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FC7-4E3A-A2A4-8AC19F8C6487}"/>
                </c:ext>
              </c:extLst>
            </c:dLbl>
            <c:dLbl>
              <c:idx val="16"/>
              <c:tx>
                <c:rich>
                  <a:bodyPr/>
                  <a:lstStyle/>
                  <a:p>
                    <a:fld id="{497FF9B2-8F0F-44C0-896A-AE5D46C88B5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FC7-4E3A-A2A4-8AC19F8C6487}"/>
                </c:ext>
              </c:extLst>
            </c:dLbl>
            <c:dLbl>
              <c:idx val="17"/>
              <c:tx>
                <c:rich>
                  <a:bodyPr/>
                  <a:lstStyle/>
                  <a:p>
                    <a:fld id="{28B9F05D-A9E8-4FD9-B74A-FA5F20BA8EB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4D8-423D-A800-A32985F26998}"/>
                </c:ext>
              </c:extLst>
            </c:dLbl>
            <c:dLbl>
              <c:idx val="18"/>
              <c:layout>
                <c:manualLayout>
                  <c:x val="-5.0516187561130727E-4"/>
                  <c:y val="-6.5356074348942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fld id="{A7063AF8-1C2A-4FFA-971E-829BA9520A07}" type="CELLRANGE">
                      <a:rPr lang="en-US"/>
                      <a:pPr>
                        <a:defRPr b="1"/>
                      </a:pPr>
                      <a:t>[ZELLBEREICH]</a:t>
                    </a:fld>
                    <a:endParaRPr lang="de-DE"/>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layout>
                    <c:manualLayout>
                      <c:w val="2.7390770491391103E-2"/>
                      <c:h val="8.6094064994141767E-2"/>
                    </c:manualLayout>
                  </c15:layout>
                  <c15:dlblFieldTable/>
                  <c15:showDataLabelsRange val="1"/>
                </c:ext>
                <c:ext xmlns:c16="http://schemas.microsoft.com/office/drawing/2014/chart" uri="{C3380CC4-5D6E-409C-BE32-E72D297353CC}">
                  <c16:uniqueId val="{00000002-F83E-4D25-981A-6DF0AC6F6C25}"/>
                </c:ext>
              </c:extLst>
            </c:dLbl>
            <c:dLbl>
              <c:idx val="19"/>
              <c:tx>
                <c:rich>
                  <a:bodyPr/>
                  <a:lstStyle/>
                  <a:p>
                    <a:fld id="{CEBE2E67-EA39-47F4-8096-B1F24EF0431D}"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4D8-423D-A800-A32985F26998}"/>
                </c:ext>
              </c:extLst>
            </c:dLbl>
            <c:dLbl>
              <c:idx val="20"/>
              <c:tx>
                <c:rich>
                  <a:bodyPr/>
                  <a:lstStyle/>
                  <a:p>
                    <a:fld id="{0CA9B0E1-DB74-4260-B007-0EDD9B60C297}"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4D8-423D-A800-A32985F26998}"/>
                </c:ext>
              </c:extLst>
            </c:dLbl>
            <c:dLbl>
              <c:idx val="21"/>
              <c:tx>
                <c:rich>
                  <a:bodyPr/>
                  <a:lstStyle/>
                  <a:p>
                    <a:fld id="{70722CBE-03AA-4052-A90C-2E7C088CD0B6}"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4D8-423D-A800-A32985F2699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Programm!$DC$9:$DX$9</c:f>
              <c:numCache>
                <c:formatCode>d/m/yy;@</c:formatCode>
                <c:ptCount val="22"/>
                <c:pt idx="0">
                  <c:v>45870</c:v>
                </c:pt>
                <c:pt idx="1">
                  <c:v>45870</c:v>
                </c:pt>
                <c:pt idx="2">
                  <c:v>45870</c:v>
                </c:pt>
                <c:pt idx="3">
                  <c:v>45870</c:v>
                </c:pt>
                <c:pt idx="4">
                  <c:v>45870</c:v>
                </c:pt>
                <c:pt idx="5">
                  <c:v>45870</c:v>
                </c:pt>
                <c:pt idx="6">
                  <c:v>46266</c:v>
                </c:pt>
                <c:pt idx="7">
                  <c:v>46266</c:v>
                </c:pt>
                <c:pt idx="8">
                  <c:v>46266</c:v>
                </c:pt>
                <c:pt idx="9">
                  <c:v>46266</c:v>
                </c:pt>
                <c:pt idx="10">
                  <c:v>46266</c:v>
                </c:pt>
                <c:pt idx="11">
                  <c:v>46265</c:v>
                </c:pt>
                <c:pt idx="12">
                  <c:v>46265</c:v>
                </c:pt>
                <c:pt idx="13">
                  <c:v>46265</c:v>
                </c:pt>
                <c:pt idx="14">
                  <c:v>46265</c:v>
                </c:pt>
                <c:pt idx="15">
                  <c:v>46265</c:v>
                </c:pt>
                <c:pt idx="16">
                  <c:v>46266</c:v>
                </c:pt>
                <c:pt idx="17">
                  <c:v>46266</c:v>
                </c:pt>
                <c:pt idx="18">
                  <c:v>46266</c:v>
                </c:pt>
                <c:pt idx="19">
                  <c:v>46266</c:v>
                </c:pt>
                <c:pt idx="20">
                  <c:v>46266</c:v>
                </c:pt>
                <c:pt idx="21">
                  <c:v>46266</c:v>
                </c:pt>
              </c:numCache>
            </c:numRef>
          </c:cat>
          <c:val>
            <c:numRef>
              <c:f>Programm!$DC$21:$DX$21</c:f>
              <c:numCache>
                <c:formatCode>General</c:formatCode>
                <c:ptCount val="2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numCache>
            </c:numRef>
          </c:val>
          <c:extLst>
            <c:ext xmlns:c15="http://schemas.microsoft.com/office/drawing/2012/chart" uri="{02D57815-91ED-43cb-92C2-25804820EDAC}">
              <c15:datalabelsRange>
                <c15:f>Programm!$DC$22:$DX$22</c15:f>
                <c15:dlblRangeCache>
                  <c:ptCount val="22"/>
                </c15:dlblRangeCache>
              </c15:datalabelsRange>
            </c:ext>
            <c:ext xmlns:c16="http://schemas.microsoft.com/office/drawing/2014/chart" uri="{C3380CC4-5D6E-409C-BE32-E72D297353CC}">
              <c16:uniqueId val="{00000001-4FC7-4E3A-A2A4-8AC19F8C6487}"/>
            </c:ext>
          </c:extLst>
        </c:ser>
        <c:ser>
          <c:idx val="9"/>
          <c:order val="6"/>
          <c:tx>
            <c:strRef>
              <c:f>Programm!$DA$17</c:f>
              <c:strCache>
                <c:ptCount val="1"/>
                <c:pt idx="0">
                  <c:v>weißer Balken</c:v>
                </c:pt>
              </c:strCache>
            </c:strRef>
          </c:tx>
          <c:spPr>
            <a:solidFill>
              <a:schemeClr val="bg1"/>
            </a:solidFill>
            <a:ln w="25400">
              <a:noFill/>
            </a:ln>
            <a:effectLst/>
          </c:spPr>
          <c:dLbls>
            <c:dLbl>
              <c:idx val="0"/>
              <c:tx>
                <c:rich>
                  <a:bodyPr/>
                  <a:lstStyle/>
                  <a:p>
                    <a:fld id="{5CD13D29-188C-4925-A527-D3ECC4433B63}" type="CELLRANGE">
                      <a:rPr lang="en-US"/>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D93-4D93-A661-B8BB8EC01419}"/>
                </c:ext>
              </c:extLst>
            </c:dLbl>
            <c:dLbl>
              <c:idx val="1"/>
              <c:tx>
                <c:rich>
                  <a:bodyPr/>
                  <a:lstStyle/>
                  <a:p>
                    <a:fld id="{DB51E93D-146F-4220-89C6-96A962BA2A27}"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D93-4D93-A661-B8BB8EC01419}"/>
                </c:ext>
              </c:extLst>
            </c:dLbl>
            <c:dLbl>
              <c:idx val="2"/>
              <c:tx>
                <c:rich>
                  <a:bodyPr/>
                  <a:lstStyle/>
                  <a:p>
                    <a:fld id="{01456688-4195-4207-AE85-8AAB42D32BA3}"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D93-4D93-A661-B8BB8EC01419}"/>
                </c:ext>
              </c:extLst>
            </c:dLbl>
            <c:dLbl>
              <c:idx val="3"/>
              <c:tx>
                <c:rich>
                  <a:bodyPr/>
                  <a:lstStyle/>
                  <a:p>
                    <a:fld id="{FD91558D-3254-4050-BAF9-E9A385B990F4}"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D93-4D93-A661-B8BB8EC01419}"/>
                </c:ext>
              </c:extLst>
            </c:dLbl>
            <c:dLbl>
              <c:idx val="4"/>
              <c:tx>
                <c:rich>
                  <a:bodyPr/>
                  <a:lstStyle/>
                  <a:p>
                    <a:fld id="{B9EA1BCF-048B-44C1-8203-EB29174EB8A4}"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D93-4D93-A661-B8BB8EC01419}"/>
                </c:ext>
              </c:extLst>
            </c:dLbl>
            <c:dLbl>
              <c:idx val="5"/>
              <c:tx>
                <c:rich>
                  <a:bodyPr/>
                  <a:lstStyle/>
                  <a:p>
                    <a:fld id="{E4BDA47B-DA1E-40AE-A603-216E413A9C05}"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D93-4D93-A661-B8BB8EC01419}"/>
                </c:ext>
              </c:extLst>
            </c:dLbl>
            <c:dLbl>
              <c:idx val="6"/>
              <c:tx>
                <c:rich>
                  <a:bodyPr/>
                  <a:lstStyle/>
                  <a:p>
                    <a:fld id="{B56936F5-72F0-4E05-9A24-E419847EC55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D93-4D93-A661-B8BB8EC01419}"/>
                </c:ext>
              </c:extLst>
            </c:dLbl>
            <c:dLbl>
              <c:idx val="7"/>
              <c:tx>
                <c:rich>
                  <a:bodyPr/>
                  <a:lstStyle/>
                  <a:p>
                    <a:fld id="{CD801901-CEB7-4CE5-BDD6-43C2E104D7D7}"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D93-4D93-A661-B8BB8EC01419}"/>
                </c:ext>
              </c:extLst>
            </c:dLbl>
            <c:dLbl>
              <c:idx val="8"/>
              <c:tx>
                <c:rich>
                  <a:bodyPr/>
                  <a:lstStyle/>
                  <a:p>
                    <a:fld id="{648A67F8-85D0-4FCC-AAAA-13C002596FDB}"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D93-4D93-A661-B8BB8EC01419}"/>
                </c:ext>
              </c:extLst>
            </c:dLbl>
            <c:dLbl>
              <c:idx val="9"/>
              <c:tx>
                <c:rich>
                  <a:bodyPr/>
                  <a:lstStyle/>
                  <a:p>
                    <a:fld id="{F2BF1A97-8627-4EFD-8D9A-436320E81CA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D93-4D93-A661-B8BB8EC01419}"/>
                </c:ext>
              </c:extLst>
            </c:dLbl>
            <c:dLbl>
              <c:idx val="10"/>
              <c:tx>
                <c:rich>
                  <a:bodyPr/>
                  <a:lstStyle/>
                  <a:p>
                    <a:fld id="{17E6DE3C-69B6-4A04-827B-4F61C2E147E6}"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D93-4D93-A661-B8BB8EC01419}"/>
                </c:ext>
              </c:extLst>
            </c:dLbl>
            <c:dLbl>
              <c:idx val="11"/>
              <c:tx>
                <c:rich>
                  <a:bodyPr/>
                  <a:lstStyle/>
                  <a:p>
                    <a:fld id="{72362D9A-AC42-473D-8EDA-9B33039E34D8}"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D93-4D93-A661-B8BB8EC01419}"/>
                </c:ext>
              </c:extLst>
            </c:dLbl>
            <c:dLbl>
              <c:idx val="12"/>
              <c:tx>
                <c:rich>
                  <a:bodyPr/>
                  <a:lstStyle/>
                  <a:p>
                    <a:fld id="{2B3F4D8B-3F3F-4B35-8F47-01F72763B87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D93-4D93-A661-B8BB8EC01419}"/>
                </c:ext>
              </c:extLst>
            </c:dLbl>
            <c:dLbl>
              <c:idx val="13"/>
              <c:tx>
                <c:rich>
                  <a:bodyPr/>
                  <a:lstStyle/>
                  <a:p>
                    <a:fld id="{27549E03-0A28-42DB-896D-77895D16FD79}"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D93-4D93-A661-B8BB8EC01419}"/>
                </c:ext>
              </c:extLst>
            </c:dLbl>
            <c:dLbl>
              <c:idx val="14"/>
              <c:tx>
                <c:rich>
                  <a:bodyPr/>
                  <a:lstStyle/>
                  <a:p>
                    <a:fld id="{90CEB958-3996-4D1B-AC59-06AF8E4B809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D93-4D93-A661-B8BB8EC01419}"/>
                </c:ext>
              </c:extLst>
            </c:dLbl>
            <c:dLbl>
              <c:idx val="15"/>
              <c:tx>
                <c:rich>
                  <a:bodyPr/>
                  <a:lstStyle/>
                  <a:p>
                    <a:fld id="{A17F28F8-6AC6-42FB-AC20-ED35DC7103A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D93-4D93-A661-B8BB8EC01419}"/>
                </c:ext>
              </c:extLst>
            </c:dLbl>
            <c:dLbl>
              <c:idx val="16"/>
              <c:tx>
                <c:rich>
                  <a:bodyPr/>
                  <a:lstStyle/>
                  <a:p>
                    <a:fld id="{166B9CA6-FC7A-4D08-89EA-6391B2A2AD78}"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D93-4D93-A661-B8BB8EC01419}"/>
                </c:ext>
              </c:extLst>
            </c:dLbl>
            <c:dLbl>
              <c:idx val="17"/>
              <c:tx>
                <c:rich>
                  <a:bodyPr/>
                  <a:lstStyle/>
                  <a:p>
                    <a:fld id="{3542BB70-0D51-4AA7-A213-94F880A039DF}"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4D8-423D-A800-A32985F26998}"/>
                </c:ext>
              </c:extLst>
            </c:dLbl>
            <c:dLbl>
              <c:idx val="18"/>
              <c:tx>
                <c:rich>
                  <a:bodyPr/>
                  <a:lstStyle/>
                  <a:p>
                    <a:fld id="{DE44EE4C-F8DA-4A3E-89B9-B94BC596DD36}"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4D8-423D-A800-A32985F26998}"/>
                </c:ext>
              </c:extLst>
            </c:dLbl>
            <c:dLbl>
              <c:idx val="19"/>
              <c:tx>
                <c:rich>
                  <a:bodyPr/>
                  <a:lstStyle/>
                  <a:p>
                    <a:fld id="{33074E87-C13C-4813-B164-5BCED73424E5}"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4D8-423D-A800-A32985F26998}"/>
                </c:ext>
              </c:extLst>
            </c:dLbl>
            <c:dLbl>
              <c:idx val="20"/>
              <c:tx>
                <c:rich>
                  <a:bodyPr/>
                  <a:lstStyle/>
                  <a:p>
                    <a:fld id="{E12E16B3-16F0-443E-BD69-8A8CA2061F00}"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4D8-423D-A800-A32985F26998}"/>
                </c:ext>
              </c:extLst>
            </c:dLbl>
            <c:dLbl>
              <c:idx val="21"/>
              <c:tx>
                <c:rich>
                  <a:bodyPr/>
                  <a:lstStyle/>
                  <a:p>
                    <a:fld id="{28CA9B7F-911A-4DEE-B2AF-FB51380A398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4D8-423D-A800-A32985F2699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Programm!$DC$9:$DX$9</c:f>
              <c:numCache>
                <c:formatCode>d/m/yy;@</c:formatCode>
                <c:ptCount val="22"/>
                <c:pt idx="0">
                  <c:v>45870</c:v>
                </c:pt>
                <c:pt idx="1">
                  <c:v>45870</c:v>
                </c:pt>
                <c:pt idx="2">
                  <c:v>45870</c:v>
                </c:pt>
                <c:pt idx="3">
                  <c:v>45870</c:v>
                </c:pt>
                <c:pt idx="4">
                  <c:v>45870</c:v>
                </c:pt>
                <c:pt idx="5">
                  <c:v>45870</c:v>
                </c:pt>
                <c:pt idx="6">
                  <c:v>46266</c:v>
                </c:pt>
                <c:pt idx="7">
                  <c:v>46266</c:v>
                </c:pt>
                <c:pt idx="8">
                  <c:v>46266</c:v>
                </c:pt>
                <c:pt idx="9">
                  <c:v>46266</c:v>
                </c:pt>
                <c:pt idx="10">
                  <c:v>46266</c:v>
                </c:pt>
                <c:pt idx="11">
                  <c:v>46265</c:v>
                </c:pt>
                <c:pt idx="12">
                  <c:v>46265</c:v>
                </c:pt>
                <c:pt idx="13">
                  <c:v>46265</c:v>
                </c:pt>
                <c:pt idx="14">
                  <c:v>46265</c:v>
                </c:pt>
                <c:pt idx="15">
                  <c:v>46265</c:v>
                </c:pt>
                <c:pt idx="16">
                  <c:v>46266</c:v>
                </c:pt>
                <c:pt idx="17">
                  <c:v>46266</c:v>
                </c:pt>
                <c:pt idx="18">
                  <c:v>46266</c:v>
                </c:pt>
                <c:pt idx="19">
                  <c:v>46266</c:v>
                </c:pt>
                <c:pt idx="20">
                  <c:v>46266</c:v>
                </c:pt>
                <c:pt idx="21">
                  <c:v>46266</c:v>
                </c:pt>
              </c:numCache>
            </c:numRef>
          </c:cat>
          <c:val>
            <c:numRef>
              <c:f>Programm!$DC$17:$DX$17</c:f>
              <c:numCache>
                <c:formatCode>General</c:formatCode>
                <c:ptCount val="2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numCache>
            </c:numRef>
          </c:val>
          <c:extLst>
            <c:ext xmlns:c15="http://schemas.microsoft.com/office/drawing/2012/chart" uri="{02D57815-91ED-43cb-92C2-25804820EDAC}">
              <c15:datalabelsRange>
                <c15:f>Programm!$DC$25:$DX$25</c15:f>
                <c15:dlblRangeCache>
                  <c:ptCount val="22"/>
                </c15:dlblRangeCache>
              </c15:datalabelsRange>
            </c:ext>
            <c:ext xmlns:c16="http://schemas.microsoft.com/office/drawing/2014/chart" uri="{C3380CC4-5D6E-409C-BE32-E72D297353CC}">
              <c16:uniqueId val="{00000004-937B-42A6-8D61-8D5425DB27D4}"/>
            </c:ext>
          </c:extLst>
        </c:ser>
        <c:dLbls>
          <c:showLegendKey val="0"/>
          <c:showVal val="0"/>
          <c:showCatName val="0"/>
          <c:showSerName val="0"/>
          <c:showPercent val="0"/>
          <c:showBubbleSize val="0"/>
        </c:dLbls>
        <c:axId val="723245776"/>
        <c:axId val="723246760"/>
        <c:extLst>
          <c:ext xmlns:c15="http://schemas.microsoft.com/office/drawing/2012/chart" uri="{02D57815-91ED-43cb-92C2-25804820EDAC}">
            <c15:filteredAreaSeries>
              <c15:ser>
                <c:idx val="3"/>
                <c:order val="2"/>
                <c:tx>
                  <c:v>Termine Entwickl.stadium</c:v>
                </c:tx>
                <c:spPr>
                  <a:solidFill>
                    <a:schemeClr val="accent4"/>
                  </a:solidFill>
                  <a:ln w="25400">
                    <a:noFill/>
                  </a:ln>
                  <a:effectLst/>
                </c:spPr>
                <c:cat>
                  <c:numRef>
                    <c:extLst>
                      <c:ext uri="{02D57815-91ED-43cb-92C2-25804820EDAC}">
                        <c15:formulaRef>
                          <c15:sqref>Programm!$DC$9:$DX$9</c15:sqref>
                        </c15:formulaRef>
                      </c:ext>
                    </c:extLst>
                    <c:numCache>
                      <c:formatCode>d/m/yy;@</c:formatCode>
                      <c:ptCount val="22"/>
                      <c:pt idx="0">
                        <c:v>45870</c:v>
                      </c:pt>
                      <c:pt idx="1">
                        <c:v>45870</c:v>
                      </c:pt>
                      <c:pt idx="2">
                        <c:v>45870</c:v>
                      </c:pt>
                      <c:pt idx="3">
                        <c:v>45870</c:v>
                      </c:pt>
                      <c:pt idx="4">
                        <c:v>45870</c:v>
                      </c:pt>
                      <c:pt idx="5">
                        <c:v>45870</c:v>
                      </c:pt>
                      <c:pt idx="6">
                        <c:v>46266</c:v>
                      </c:pt>
                      <c:pt idx="7">
                        <c:v>46266</c:v>
                      </c:pt>
                      <c:pt idx="8">
                        <c:v>46266</c:v>
                      </c:pt>
                      <c:pt idx="9">
                        <c:v>46266</c:v>
                      </c:pt>
                      <c:pt idx="10">
                        <c:v>46266</c:v>
                      </c:pt>
                      <c:pt idx="11">
                        <c:v>46265</c:v>
                      </c:pt>
                      <c:pt idx="12">
                        <c:v>46265</c:v>
                      </c:pt>
                      <c:pt idx="13">
                        <c:v>46265</c:v>
                      </c:pt>
                      <c:pt idx="14">
                        <c:v>46265</c:v>
                      </c:pt>
                      <c:pt idx="15">
                        <c:v>46265</c:v>
                      </c:pt>
                      <c:pt idx="16">
                        <c:v>46266</c:v>
                      </c:pt>
                      <c:pt idx="17">
                        <c:v>46266</c:v>
                      </c:pt>
                      <c:pt idx="18">
                        <c:v>46266</c:v>
                      </c:pt>
                      <c:pt idx="19">
                        <c:v>46266</c:v>
                      </c:pt>
                      <c:pt idx="20">
                        <c:v>46266</c:v>
                      </c:pt>
                      <c:pt idx="21">
                        <c:v>46266</c:v>
                      </c:pt>
                    </c:numCache>
                  </c:numRef>
                </c:cat>
                <c:val>
                  <c:numRef>
                    <c:extLst>
                      <c:ext uri="{02D57815-91ED-43cb-92C2-25804820EDAC}">
                        <c15:formulaRef>
                          <c15:sqref>Programm!$DC$25:$DX$25</c15:sqref>
                        </c15:formulaRef>
                      </c:ext>
                    </c:extLst>
                    <c:numCache>
                      <c:formatCode>General</c:formatCode>
                      <c:ptCount val="22"/>
                      <c:pt idx="3">
                        <c:v>0</c:v>
                      </c:pt>
                      <c:pt idx="8">
                        <c:v>0</c:v>
                      </c:pt>
                      <c:pt idx="13">
                        <c:v>0</c:v>
                      </c:pt>
                      <c:pt idx="18">
                        <c:v>0</c:v>
                      </c:pt>
                    </c:numCache>
                  </c:numRef>
                </c:val>
                <c:extLst>
                  <c:ext xmlns:c16="http://schemas.microsoft.com/office/drawing/2014/chart" uri="{C3380CC4-5D6E-409C-BE32-E72D297353CC}">
                    <c16:uniqueId val="{00000017-F556-4645-83F9-77C59ECEFD7D}"/>
                  </c:ext>
                </c:extLst>
              </c15:ser>
            </c15:filteredAreaSeries>
            <c15:filteredAreaSeries>
              <c15:ser>
                <c:idx val="4"/>
                <c:order val="3"/>
                <c:tx>
                  <c:v>organ</c:v>
                </c:tx>
                <c:spPr>
                  <a:solidFill>
                    <a:schemeClr val="accent5"/>
                  </a:solidFill>
                  <a:ln w="25400">
                    <a:noFill/>
                  </a:ln>
                  <a:effectLst/>
                </c:spPr>
                <c:cat>
                  <c:numRef>
                    <c:extLst xmlns:c15="http://schemas.microsoft.com/office/drawing/2012/chart">
                      <c:ext xmlns:c15="http://schemas.microsoft.com/office/drawing/2012/chart" uri="{02D57815-91ED-43cb-92C2-25804820EDAC}">
                        <c15:formulaRef>
                          <c15:sqref>Programm!$DC$9:$DX$9</c15:sqref>
                        </c15:formulaRef>
                      </c:ext>
                    </c:extLst>
                    <c:numCache>
                      <c:formatCode>d/m/yy;@</c:formatCode>
                      <c:ptCount val="22"/>
                      <c:pt idx="0">
                        <c:v>45870</c:v>
                      </c:pt>
                      <c:pt idx="1">
                        <c:v>45870</c:v>
                      </c:pt>
                      <c:pt idx="2">
                        <c:v>45870</c:v>
                      </c:pt>
                      <c:pt idx="3">
                        <c:v>45870</c:v>
                      </c:pt>
                      <c:pt idx="4">
                        <c:v>45870</c:v>
                      </c:pt>
                      <c:pt idx="5">
                        <c:v>45870</c:v>
                      </c:pt>
                      <c:pt idx="6">
                        <c:v>46266</c:v>
                      </c:pt>
                      <c:pt idx="7">
                        <c:v>46266</c:v>
                      </c:pt>
                      <c:pt idx="8">
                        <c:v>46266</c:v>
                      </c:pt>
                      <c:pt idx="9">
                        <c:v>46266</c:v>
                      </c:pt>
                      <c:pt idx="10">
                        <c:v>46266</c:v>
                      </c:pt>
                      <c:pt idx="11">
                        <c:v>46265</c:v>
                      </c:pt>
                      <c:pt idx="12">
                        <c:v>46265</c:v>
                      </c:pt>
                      <c:pt idx="13">
                        <c:v>46265</c:v>
                      </c:pt>
                      <c:pt idx="14">
                        <c:v>46265</c:v>
                      </c:pt>
                      <c:pt idx="15">
                        <c:v>46265</c:v>
                      </c:pt>
                      <c:pt idx="16">
                        <c:v>46266</c:v>
                      </c:pt>
                      <c:pt idx="17">
                        <c:v>46266</c:v>
                      </c:pt>
                      <c:pt idx="18">
                        <c:v>46266</c:v>
                      </c:pt>
                      <c:pt idx="19">
                        <c:v>46266</c:v>
                      </c:pt>
                      <c:pt idx="20">
                        <c:v>46266</c:v>
                      </c:pt>
                      <c:pt idx="21">
                        <c:v>46266</c:v>
                      </c:pt>
                    </c:numCache>
                  </c:numRef>
                </c:cat>
                <c:val>
                  <c:numRef>
                    <c:extLst xmlns:c15="http://schemas.microsoft.com/office/drawing/2012/chart">
                      <c:ext xmlns:c15="http://schemas.microsoft.com/office/drawing/2012/chart" uri="{02D57815-91ED-43cb-92C2-25804820EDAC}">
                        <c15:formulaRef>
                          <c15:sqref>Programm!$DI$25:$DX$25</c15:sqref>
                        </c15:formulaRef>
                      </c:ext>
                    </c:extLst>
                    <c:numCache>
                      <c:formatCode>General</c:formatCode>
                      <c:ptCount val="16"/>
                      <c:pt idx="2">
                        <c:v>0</c:v>
                      </c:pt>
                      <c:pt idx="7">
                        <c:v>0</c:v>
                      </c:pt>
                      <c:pt idx="12">
                        <c:v>0</c:v>
                      </c:pt>
                    </c:numCache>
                  </c:numRef>
                </c:val>
                <c:extLst xmlns:c15="http://schemas.microsoft.com/office/drawing/2012/chart">
                  <c:ext xmlns:c16="http://schemas.microsoft.com/office/drawing/2014/chart" uri="{C3380CC4-5D6E-409C-BE32-E72D297353CC}">
                    <c16:uniqueId val="{00000018-F556-4645-83F9-77C59ECEFD7D}"/>
                  </c:ext>
                </c:extLst>
              </c15:ser>
            </c15:filteredAreaSeries>
          </c:ext>
        </c:extLst>
      </c:areaChart>
      <c:dateAx>
        <c:axId val="723245776"/>
        <c:scaling>
          <c:orientation val="minMax"/>
          <c:min val="45870"/>
        </c:scaling>
        <c:delete val="0"/>
        <c:axPos val="b"/>
        <c:numFmt formatCode="[$-407]d/\ mmm/;@"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723246760"/>
        <c:crossesAt val="-50"/>
        <c:auto val="0"/>
        <c:lblOffset val="100"/>
        <c:baseTimeUnit val="days"/>
        <c:majorUnit val="1"/>
        <c:majorTimeUnit val="months"/>
      </c:dateAx>
      <c:valAx>
        <c:axId val="723246760"/>
        <c:scaling>
          <c:orientation val="minMax"/>
          <c:max val="100"/>
          <c:min val="-15"/>
        </c:scaling>
        <c:delete val="1"/>
        <c:axPos val="l"/>
        <c:numFmt formatCode="General" sourceLinked="1"/>
        <c:majorTickMark val="out"/>
        <c:minorTickMark val="none"/>
        <c:tickLblPos val="nextTo"/>
        <c:crossAx val="723245776"/>
        <c:crosses val="autoZero"/>
        <c:crossBetween val="midCat"/>
        <c:majorUnit val="50"/>
      </c:valAx>
      <c:spPr>
        <a:noFill/>
        <a:ln>
          <a:noFill/>
        </a:ln>
        <a:effectLst/>
      </c:spPr>
    </c:plotArea>
    <c:plotVisOnly val="0"/>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pPr>
      <a:endParaRPr lang="de-DE"/>
    </a:p>
  </c:txPr>
  <c:printSettings>
    <c:headerFooter/>
    <c:pageMargins b="0.78740157499999996" l="0.7" r="0.7" t="0.78740157499999996" header="0.3" footer="0.3"/>
    <c:pageSetup paperSize="9" orientation="landscape" horizontalDpi="300"/>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0" dropStyle="combo" dx="22" fmlaLink="$BP$7" fmlaRange="Hauptfrüchte!$A$6:$A$46" noThreeD="1" sel="1" val="0"/>
</file>

<file path=xl/ctrlProps/ctrlProp2.xml><?xml version="1.0" encoding="utf-8"?>
<formControlPr xmlns="http://schemas.microsoft.com/office/spreadsheetml/2009/9/main" objectType="Drop" dropLines="30" dropStyle="combo" dx="22" fmlaLink="$BP$14" fmlaRange="Vorfrucht!$B$4:$B$22" noThreeD="1" sel="2" val="0"/>
</file>

<file path=xl/ctrlProps/ctrlProp3.xml><?xml version="1.0" encoding="utf-8"?>
<formControlPr xmlns="http://schemas.microsoft.com/office/spreadsheetml/2009/9/main" objectType="Drop" dropLines="4" dropStyle="combo" dx="22" fmlaLink="$BP$13" fmlaRange="Boden!$B$5:$B$8" noThreeD="1" sel="1" val="0"/>
</file>

<file path=xl/ctrlProps/ctrlProp4.xml><?xml version="1.0" encoding="utf-8"?>
<formControlPr xmlns="http://schemas.microsoft.com/office/spreadsheetml/2009/9/main" objectType="Drop" dropLines="30" dropStyle="combo" dx="22" fmlaLink="$BP$15" fmlaRange="Zwischenfrucht!$B$4:$B$16" noThreeD="1" sel="1" val="0"/>
</file>

<file path=xl/ctrlProps/ctrlProp5.xml><?xml version="1.0" encoding="utf-8"?>
<formControlPr xmlns="http://schemas.microsoft.com/office/spreadsheetml/2009/9/main" objectType="Drop" dropLines="30" dropStyle="combo" dx="22" fmlaLink="$CC$13" fmlaRange="'reduzierte Empfehlung'!$C$2:$C$4" noThreeD="1" sel="2" val="0"/>
</file>

<file path=xl/ctrlProps/ctrlProp6.xml><?xml version="1.0" encoding="utf-8"?>
<formControlPr xmlns="http://schemas.microsoft.com/office/spreadsheetml/2009/9/main" objectType="Drop" dropStyle="combo" dx="22" fmlaLink="$CM$14" fmlaRange="'org Dung'!$B$5:$B$22" noThreeD="1" sel="1" val="0"/>
</file>

<file path=xl/ctrlProps/ctrlProp7.xml><?xml version="1.0" encoding="utf-8"?>
<formControlPr xmlns="http://schemas.microsoft.com/office/spreadsheetml/2009/9/main" objectType="Drop" dropStyle="combo" dx="22" fmlaLink="$CM$15" fmlaRange="'org Dung'!$B$5:$B$22" noThreeD="1" sel="1" val="0"/>
</file>

<file path=xl/ctrlProps/ctrlProp8.xml><?xml version="1.0" encoding="utf-8"?>
<formControlPr xmlns="http://schemas.microsoft.com/office/spreadsheetml/2009/9/main" objectType="Drop" dropStyle="combo" dx="22" fmlaLink="$CM$11" fmlaRange="'org Dung'!$B$5:$B$22" noThreeD="1" sel="1" val="0"/>
</file>

<file path=xl/ctrlProps/ctrlProp9.xml><?xml version="1.0" encoding="utf-8"?>
<formControlPr xmlns="http://schemas.microsoft.com/office/spreadsheetml/2009/9/main" objectType="Drop" dropStyle="combo" dx="22" fmlaLink="$CM$10" fmlaRange="'org Dung'!$B$5:$B$22" noThreeD="1" sel="1" val="6"/>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110067</xdr:colOff>
      <xdr:row>16</xdr:row>
      <xdr:rowOff>220135</xdr:rowOff>
    </xdr:from>
    <xdr:to>
      <xdr:col>30</xdr:col>
      <xdr:colOff>28222</xdr:colOff>
      <xdr:row>35</xdr:row>
      <xdr:rowOff>184900</xdr:rowOff>
    </xdr:to>
    <xdr:graphicFrame macro="">
      <xdr:nvGraphicFramePr>
        <xdr:cNvPr id="22" name="Diagramm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92694</xdr:colOff>
      <xdr:row>17</xdr:row>
      <xdr:rowOff>150610</xdr:rowOff>
    </xdr:from>
    <xdr:to>
      <xdr:col>30</xdr:col>
      <xdr:colOff>7682</xdr:colOff>
      <xdr:row>26</xdr:row>
      <xdr:rowOff>219075</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40808</xdr:colOff>
      <xdr:row>18</xdr:row>
      <xdr:rowOff>15240</xdr:rowOff>
    </xdr:from>
    <xdr:to>
      <xdr:col>29</xdr:col>
      <xdr:colOff>316837</xdr:colOff>
      <xdr:row>24</xdr:row>
      <xdr:rowOff>53480</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104321</xdr:colOff>
      <xdr:row>23</xdr:row>
      <xdr:rowOff>77242</xdr:rowOff>
    </xdr:from>
    <xdr:to>
      <xdr:col>30</xdr:col>
      <xdr:colOff>41181</xdr:colOff>
      <xdr:row>34</xdr:row>
      <xdr:rowOff>34895</xdr:rowOff>
    </xdr:to>
    <xdr:graphicFrame macro="">
      <xdr:nvGraphicFramePr>
        <xdr:cNvPr id="21" name="Diagramm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0</xdr:colOff>
          <xdr:row>3</xdr:row>
          <xdr:rowOff>243840</xdr:rowOff>
        </xdr:from>
        <xdr:to>
          <xdr:col>13</xdr:col>
          <xdr:colOff>91440</xdr:colOff>
          <xdr:row>4</xdr:row>
          <xdr:rowOff>209550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13</xdr:row>
          <xdr:rowOff>0</xdr:rowOff>
        </xdr:from>
        <xdr:to>
          <xdr:col>16</xdr:col>
          <xdr:colOff>53340</xdr:colOff>
          <xdr:row>13</xdr:row>
          <xdr:rowOff>205740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xdr:row>
          <xdr:rowOff>228600</xdr:rowOff>
        </xdr:from>
        <xdr:to>
          <xdr:col>3</xdr:col>
          <xdr:colOff>209550</xdr:colOff>
          <xdr:row>15</xdr:row>
          <xdr:rowOff>167640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13</xdr:row>
          <xdr:rowOff>251460</xdr:rowOff>
        </xdr:from>
        <xdr:to>
          <xdr:col>16</xdr:col>
          <xdr:colOff>53340</xdr:colOff>
          <xdr:row>14</xdr:row>
          <xdr:rowOff>205740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78104</xdr:colOff>
      <xdr:row>0</xdr:row>
      <xdr:rowOff>114300</xdr:rowOff>
    </xdr:from>
    <xdr:to>
      <xdr:col>3</xdr:col>
      <xdr:colOff>77744</xdr:colOff>
      <xdr:row>3</xdr:row>
      <xdr:rowOff>91440</xdr:rowOff>
    </xdr:to>
    <xdr:pic>
      <xdr:nvPicPr>
        <xdr:cNvPr id="17" name="Picture 3">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78104" y="114300"/>
          <a:ext cx="1199790" cy="628650"/>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4</xdr:col>
          <xdr:colOff>7620</xdr:colOff>
          <xdr:row>12</xdr:row>
          <xdr:rowOff>22860</xdr:rowOff>
        </xdr:from>
        <xdr:to>
          <xdr:col>5</xdr:col>
          <xdr:colOff>358140</xdr:colOff>
          <xdr:row>12</xdr:row>
          <xdr:rowOff>228600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243840</xdr:colOff>
          <xdr:row>13</xdr:row>
          <xdr:rowOff>15240</xdr:rowOff>
        </xdr:from>
        <xdr:to>
          <xdr:col>22</xdr:col>
          <xdr:colOff>586740</xdr:colOff>
          <xdr:row>13</xdr:row>
          <xdr:rowOff>228600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243840</xdr:colOff>
          <xdr:row>14</xdr:row>
          <xdr:rowOff>22860</xdr:rowOff>
        </xdr:from>
        <xdr:to>
          <xdr:col>22</xdr:col>
          <xdr:colOff>586740</xdr:colOff>
          <xdr:row>14</xdr:row>
          <xdr:rowOff>228600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10</xdr:row>
          <xdr:rowOff>22860</xdr:rowOff>
        </xdr:from>
        <xdr:to>
          <xdr:col>22</xdr:col>
          <xdr:colOff>624840</xdr:colOff>
          <xdr:row>10</xdr:row>
          <xdr:rowOff>228600</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xdr:row>
          <xdr:rowOff>15240</xdr:rowOff>
        </xdr:from>
        <xdr:to>
          <xdr:col>22</xdr:col>
          <xdr:colOff>624840</xdr:colOff>
          <xdr:row>9</xdr:row>
          <xdr:rowOff>228600</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250972</xdr:colOff>
      <xdr:row>32</xdr:row>
      <xdr:rowOff>73158</xdr:rowOff>
    </xdr:from>
    <xdr:to>
      <xdr:col>29</xdr:col>
      <xdr:colOff>8932</xdr:colOff>
      <xdr:row>33</xdr:row>
      <xdr:rowOff>156894</xdr:rowOff>
    </xdr:to>
    <xdr:sp macro="" textlink="$BO$2">
      <xdr:nvSpPr>
        <xdr:cNvPr id="40" name="Pfeil: nach links und rechts 39">
          <a:extLst>
            <a:ext uri="{FF2B5EF4-FFF2-40B4-BE49-F238E27FC236}">
              <a16:creationId xmlns:a16="http://schemas.microsoft.com/office/drawing/2014/main" id="{00000000-0008-0000-0000-000028000000}"/>
            </a:ext>
          </a:extLst>
        </xdr:cNvPr>
        <xdr:cNvSpPr/>
      </xdr:nvSpPr>
      <xdr:spPr>
        <a:xfrm>
          <a:off x="4757030" y="7605235"/>
          <a:ext cx="7128844" cy="332851"/>
        </a:xfrm>
        <a:prstGeom prst="leftRightArrow">
          <a:avLst/>
        </a:prstGeom>
        <a:solidFill>
          <a:schemeClr val="bg2">
            <a:lumMod val="90000"/>
            <a:alpha val="50000"/>
          </a:scheme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wrap="square"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445435D6-C61B-4A26-9E0B-5AB364B3EE99}" type="TxLink">
            <a:rPr lang="en-US" sz="900" b="0" i="0" u="none" strike="noStrike">
              <a:solidFill>
                <a:srgbClr val="000000"/>
              </a:solidFill>
              <a:latin typeface="Arial"/>
              <a:cs typeface="Arial"/>
            </a:rPr>
            <a:pPr algn="ctr"/>
            <a:t>2026</a:t>
          </a:fld>
          <a:endParaRPr lang="de-DE">
            <a:solidFill>
              <a:schemeClr val="bg2">
                <a:lumMod val="25000"/>
              </a:schemeClr>
            </a:solidFill>
          </a:endParaRPr>
        </a:p>
      </xdr:txBody>
    </xdr:sp>
    <xdr:clientData/>
  </xdr:twoCellAnchor>
  <xdr:twoCellAnchor>
    <xdr:from>
      <xdr:col>2</xdr:col>
      <xdr:colOff>219206</xdr:colOff>
      <xdr:row>33</xdr:row>
      <xdr:rowOff>38099</xdr:rowOff>
    </xdr:from>
    <xdr:to>
      <xdr:col>28</xdr:col>
      <xdr:colOff>321311</xdr:colOff>
      <xdr:row>34</xdr:row>
      <xdr:rowOff>73068</xdr:rowOff>
    </xdr:to>
    <xdr:sp macro="" textlink="$AJ$53">
      <xdr:nvSpPr>
        <xdr:cNvPr id="3" name="Textfeld 2">
          <a:extLst>
            <a:ext uri="{FF2B5EF4-FFF2-40B4-BE49-F238E27FC236}">
              <a16:creationId xmlns:a16="http://schemas.microsoft.com/office/drawing/2014/main" id="{00000000-0008-0000-0000-000003000000}"/>
            </a:ext>
          </a:extLst>
        </xdr:cNvPr>
        <xdr:cNvSpPr txBox="1"/>
      </xdr:nvSpPr>
      <xdr:spPr>
        <a:xfrm>
          <a:off x="1096028" y="7866866"/>
          <a:ext cx="10749228" cy="28549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0028C79E-7169-4B57-B2E8-5BBDCD27FCDB}" type="TxLink">
            <a:rPr lang="en-US" sz="1100" b="1" i="0" u="none" strike="noStrike">
              <a:solidFill>
                <a:schemeClr val="tx2">
                  <a:lumMod val="75000"/>
                </a:schemeClr>
              </a:solidFill>
              <a:latin typeface="+mn-lt"/>
              <a:cs typeface="Arial"/>
            </a:rPr>
            <a:pPr algn="r"/>
            <a:t> </a:t>
          </a:fld>
          <a:endParaRPr lang="de-DE" sz="1100" b="1">
            <a:solidFill>
              <a:schemeClr val="tx2">
                <a:lumMod val="75000"/>
              </a:schemeClr>
            </a:solidFill>
            <a:latin typeface="+mn-lt"/>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0.0289</cdr:x>
      <cdr:y>0.81546</cdr:y>
    </cdr:from>
    <cdr:to>
      <cdr:x>0.3835</cdr:x>
      <cdr:y>0.88617</cdr:y>
    </cdr:to>
    <cdr:sp macro="" textlink="Programm!$BN$2">
      <cdr:nvSpPr>
        <cdr:cNvPr id="4" name="Pfeil: nach links und rechts 3">
          <a:extLst xmlns:a="http://schemas.openxmlformats.org/drawingml/2006/main">
            <a:ext uri="{FF2B5EF4-FFF2-40B4-BE49-F238E27FC236}">
              <a16:creationId xmlns:a16="http://schemas.microsoft.com/office/drawing/2014/main" id="{5AAFBD68-6744-4611-95CD-AD3554395A98}"/>
            </a:ext>
          </a:extLst>
        </cdr:cNvPr>
        <cdr:cNvSpPr/>
      </cdr:nvSpPr>
      <cdr:spPr>
        <a:xfrm xmlns:a="http://schemas.openxmlformats.org/drawingml/2006/main">
          <a:off x="350195" y="3777223"/>
          <a:ext cx="4296816" cy="327530"/>
        </a:xfrm>
        <a:prstGeom xmlns:a="http://schemas.openxmlformats.org/drawingml/2006/main" prst="leftRightArrow">
          <a:avLst/>
        </a:prstGeom>
        <a:solidFill xmlns:a="http://schemas.openxmlformats.org/drawingml/2006/main">
          <a:schemeClr val="bg2">
            <a:lumMod val="90000"/>
            <a:alpha val="50000"/>
          </a:schemeClr>
        </a:solidFill>
        <a:ln xmlns:a="http://schemas.openxmlformats.org/drawingml/2006/main" w="9525" cap="flat" cmpd="sng" algn="ctr">
          <a:noFill/>
          <a:prstDash val="solid"/>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anchor="ctr"/>
        <a:lstStyle xmlns:a="http://schemas.openxmlformats.org/drawingml/2006/main"/>
        <a:p xmlns:a="http://schemas.openxmlformats.org/drawingml/2006/main">
          <a:pPr algn="ctr"/>
          <a:fld id="{B9036EAA-6123-4A63-BFD8-21A2175CB1E5}" type="TxLink">
            <a:rPr lang="en-US" sz="900" b="0" i="0" u="none" strike="noStrike">
              <a:solidFill>
                <a:srgbClr val="000000"/>
              </a:solidFill>
              <a:latin typeface="Arial"/>
              <a:cs typeface="Arial"/>
            </a:rPr>
            <a:pPr algn="ctr"/>
            <a:t>2025</a:t>
          </a:fld>
          <a:endParaRPr lang="de-DE">
            <a:solidFill>
              <a:schemeClr val="bg2">
                <a:lumMod val="25000"/>
              </a:schemeClr>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0.01179</cdr:x>
      <cdr:y>0.141</cdr:y>
    </cdr:from>
    <cdr:to>
      <cdr:x>0.03099</cdr:x>
      <cdr:y>0.75577</cdr:y>
    </cdr:to>
    <cdr:sp macro="" textlink="Programm!$AF$48">
      <cdr:nvSpPr>
        <cdr:cNvPr id="2" name="Textfeld 1">
          <a:extLst xmlns:a="http://schemas.openxmlformats.org/drawingml/2006/main">
            <a:ext uri="{FF2B5EF4-FFF2-40B4-BE49-F238E27FC236}">
              <a16:creationId xmlns:a16="http://schemas.microsoft.com/office/drawing/2014/main" id="{35472F96-9EDD-44B2-BA3A-9FD75216292E}"/>
            </a:ext>
          </a:extLst>
        </cdr:cNvPr>
        <cdr:cNvSpPr txBox="1"/>
      </cdr:nvSpPr>
      <cdr:spPr>
        <a:xfrm xmlns:a="http://schemas.openxmlformats.org/drawingml/2006/main" rot="16200000">
          <a:off x="-368625" y="794747"/>
          <a:ext cx="1246274" cy="228450"/>
        </a:xfrm>
        <a:prstGeom xmlns:a="http://schemas.openxmlformats.org/drawingml/2006/main" prst="rect">
          <a:avLst/>
        </a:prstGeom>
      </cdr:spPr>
      <cdr:style>
        <a:lnRef xmlns:a="http://schemas.openxmlformats.org/drawingml/2006/main" idx="2">
          <a:schemeClr val="accent3"/>
        </a:lnRef>
        <a:fillRef xmlns:a="http://schemas.openxmlformats.org/drawingml/2006/main" idx="1">
          <a:schemeClr val="lt1"/>
        </a:fillRef>
        <a:effectRef xmlns:a="http://schemas.openxmlformats.org/drawingml/2006/main" idx="0">
          <a:schemeClr val="accent3"/>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fld id="{F055F0E3-E257-4893-A96E-CF934AC4F231}" type="TxLink">
            <a:rPr lang="en-US" sz="1100" b="1" i="0" u="none" strike="noStrike">
              <a:solidFill>
                <a:srgbClr val="000000"/>
              </a:solidFill>
              <a:latin typeface="+mn-lt"/>
              <a:cs typeface="Arial"/>
            </a:rPr>
            <a:pPr algn="ctr"/>
            <a:t>Organisch</a:t>
          </a:fld>
          <a:endParaRPr lang="de-DE" sz="1100" b="1">
            <a:latin typeface="+mn-lt"/>
          </a:endParaRPr>
        </a:p>
      </cdr:txBody>
    </cdr:sp>
  </cdr:relSizeAnchor>
  <cdr:relSizeAnchor xmlns:cdr="http://schemas.openxmlformats.org/drawingml/2006/chartDrawing">
    <cdr:from>
      <cdr:x>0.03271</cdr:x>
      <cdr:y>0.50804</cdr:y>
    </cdr:from>
    <cdr:to>
      <cdr:x>0.33678</cdr:x>
      <cdr:y>0.59461</cdr:y>
    </cdr:to>
    <cdr:sp macro="" textlink="Programm!$AI$50">
      <cdr:nvSpPr>
        <cdr:cNvPr id="3" name="Textfeld 1">
          <a:extLst xmlns:a="http://schemas.openxmlformats.org/drawingml/2006/main">
            <a:ext uri="{FF2B5EF4-FFF2-40B4-BE49-F238E27FC236}">
              <a16:creationId xmlns:a16="http://schemas.microsoft.com/office/drawing/2014/main" id="{55B39C4F-BD8A-41A3-991C-EB77C89FE934}"/>
            </a:ext>
          </a:extLst>
        </cdr:cNvPr>
        <cdr:cNvSpPr txBox="1"/>
      </cdr:nvSpPr>
      <cdr:spPr>
        <a:xfrm xmlns:a="http://schemas.openxmlformats.org/drawingml/2006/main">
          <a:off x="390322" y="1146389"/>
          <a:ext cx="3628412" cy="195344"/>
        </a:xfrm>
        <a:prstGeom xmlns:a="http://schemas.openxmlformats.org/drawingml/2006/main" prst="flowChartTerminator">
          <a:avLst/>
        </a:prstGeom>
        <a:solidFill xmlns:a="http://schemas.openxmlformats.org/drawingml/2006/main">
          <a:schemeClr val="bg1">
            <a:alpha val="80000"/>
          </a:schemeClr>
        </a:solidFill>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EFC7B09-D635-48C0-9453-D4E2DD8FF124}" type="TxLink">
            <a:rPr lang="en-US" sz="900" b="0" i="1" u="none" strike="noStrike">
              <a:solidFill>
                <a:schemeClr val="accent1">
                  <a:lumMod val="75000"/>
                </a:schemeClr>
              </a:solidFill>
              <a:latin typeface="Calibri"/>
              <a:cs typeface="Calibri"/>
            </a:rPr>
            <a:pPr algn="ctr"/>
            <a:t>Abschlag = Düngung org. Vorfrucht/Herbst 0 kg N </a:t>
          </a:fld>
          <a:endParaRPr lang="de-DE" sz="600" i="1">
            <a:solidFill>
              <a:schemeClr val="accent1">
                <a:lumMod val="75000"/>
              </a:schemeClr>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0.7582</cdr:x>
      <cdr:y>0.03803</cdr:y>
    </cdr:from>
    <cdr:to>
      <cdr:x>0.98078</cdr:x>
      <cdr:y>0.97037</cdr:y>
    </cdr:to>
    <cdr:sp macro="" textlink="Programm!$AI$49">
      <cdr:nvSpPr>
        <cdr:cNvPr id="3" name="Textfeld 2">
          <a:extLst xmlns:a="http://schemas.openxmlformats.org/drawingml/2006/main">
            <a:ext uri="{FF2B5EF4-FFF2-40B4-BE49-F238E27FC236}">
              <a16:creationId xmlns:a16="http://schemas.microsoft.com/office/drawing/2014/main" id="{4B09783F-5FDC-440F-8895-2AB2EB892CFD}"/>
            </a:ext>
          </a:extLst>
        </cdr:cNvPr>
        <cdr:cNvSpPr txBox="1"/>
      </cdr:nvSpPr>
      <cdr:spPr>
        <a:xfrm xmlns:a="http://schemas.openxmlformats.org/drawingml/2006/main">
          <a:off x="9171601" y="58692"/>
          <a:ext cx="2692451" cy="1438778"/>
        </a:xfrm>
        <a:prstGeom xmlns:a="http://schemas.openxmlformats.org/drawingml/2006/main" prst="roundRect">
          <a:avLst/>
        </a:prstGeom>
        <a:noFill xmlns:a="http://schemas.openxmlformats.org/drawingml/2006/main"/>
        <a:ln xmlns:a="http://schemas.openxmlformats.org/drawingml/2006/main" w="19050">
          <a:noFill/>
        </a:ln>
      </cdr:spPr>
      <cdr:txBody>
        <a:bodyPr xmlns:a="http://schemas.openxmlformats.org/drawingml/2006/main" vertOverflow="clip" wrap="square" rtlCol="0" anchor="b"/>
        <a:lstStyle xmlns:a="http://schemas.openxmlformats.org/drawingml/2006/main"/>
        <a:p xmlns:a="http://schemas.openxmlformats.org/drawingml/2006/main">
          <a:pPr algn="r"/>
          <a:fld id="{55280E2C-5A21-464F-9E77-CEA0D90AE76E}" type="TxLink">
            <a:rPr lang="en-US" sz="1050" b="0" i="0" u="none" strike="noStrike">
              <a:solidFill>
                <a:schemeClr val="bg1">
                  <a:lumMod val="50000"/>
                </a:schemeClr>
              </a:solidFill>
              <a:latin typeface="+mn-lt"/>
              <a:cs typeface="Calibri"/>
            </a:rPr>
            <a:pPr algn="r"/>
            <a:t>Art
Datum
Ausgeb. Nges / Anrechnb. N z. HF
opt. Zeitraum</a:t>
          </a:fld>
          <a:endParaRPr lang="de-DE" sz="1050">
            <a:solidFill>
              <a:schemeClr val="bg1">
                <a:lumMod val="50000"/>
              </a:schemeClr>
            </a:solidFill>
            <a:latin typeface="+mn-lt"/>
          </a:endParaRPr>
        </a:p>
      </cdr:txBody>
    </cdr:sp>
  </cdr:relSizeAnchor>
  <cdr:relSizeAnchor xmlns:cdr="http://schemas.openxmlformats.org/drawingml/2006/chartDrawing">
    <cdr:from>
      <cdr:x>0.47206</cdr:x>
      <cdr:y>0.65005</cdr:y>
    </cdr:from>
    <cdr:to>
      <cdr:x>0.77459</cdr:x>
      <cdr:y>0.786</cdr:y>
    </cdr:to>
    <cdr:sp macro="" textlink="Programm!$AI$51">
      <cdr:nvSpPr>
        <cdr:cNvPr id="4" name="Textfeld 1">
          <a:extLst xmlns:a="http://schemas.openxmlformats.org/drawingml/2006/main">
            <a:ext uri="{FF2B5EF4-FFF2-40B4-BE49-F238E27FC236}">
              <a16:creationId xmlns:a16="http://schemas.microsoft.com/office/drawing/2014/main" id="{1E54BFBE-8816-4D24-AD0D-E406138FFB9E}"/>
            </a:ext>
          </a:extLst>
        </cdr:cNvPr>
        <cdr:cNvSpPr txBox="1"/>
      </cdr:nvSpPr>
      <cdr:spPr>
        <a:xfrm xmlns:a="http://schemas.openxmlformats.org/drawingml/2006/main">
          <a:off x="5715052" y="1004207"/>
          <a:ext cx="3662617" cy="210023"/>
        </a:xfrm>
        <a:prstGeom xmlns:a="http://schemas.openxmlformats.org/drawingml/2006/main" prst="flowChartTerminator">
          <a:avLst/>
        </a:prstGeom>
        <a:solidFill xmlns:a="http://schemas.openxmlformats.org/drawingml/2006/main">
          <a:schemeClr val="bg1">
            <a:alpha val="80000"/>
          </a:schemeClr>
        </a:solidFill>
        <a:ln xmlns:a="http://schemas.openxmlformats.org/drawingml/2006/main">
          <a:noFill/>
        </a:ln>
      </cdr:spPr>
      <cdr:txBody>
        <a:bodyPr xmlns:a="http://schemas.openxmlformats.org/drawingml/2006/main" vertOverflow="clip"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fld id="{6C592DE1-A7D7-4A58-86A8-C75B071DBA70}" type="TxLink">
            <a:rPr lang="en-US" sz="900" b="0" i="1" u="none" strike="noStrike">
              <a:solidFill>
                <a:schemeClr val="accent2">
                  <a:lumMod val="75000"/>
                </a:schemeClr>
              </a:solidFill>
              <a:latin typeface="Calibri"/>
              <a:ea typeface="+mn-ea"/>
              <a:cs typeface="Calibri"/>
            </a:rPr>
            <a:pPr marL="0" indent="0" algn="ctr"/>
            <a:t>Abschlag (Düngung) org. Frühjahr 0 kg N </a:t>
          </a:fld>
          <a:endParaRPr lang="de-DE" sz="900" b="0" i="1" u="none" strike="noStrike">
            <a:solidFill>
              <a:schemeClr val="accent2">
                <a:lumMod val="75000"/>
              </a:schemeClr>
            </a:solidFill>
            <a:latin typeface="Calibri"/>
            <a:ea typeface="+mn-ea"/>
            <a:cs typeface="Calibri"/>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0.01127</cdr:x>
      <cdr:y>0.10381</cdr:y>
    </cdr:from>
    <cdr:to>
      <cdr:x>0.03014</cdr:x>
      <cdr:y>0.65812</cdr:y>
    </cdr:to>
    <cdr:sp macro="" textlink="Programm!$AF$44">
      <cdr:nvSpPr>
        <cdr:cNvPr id="2" name="Textfeld 1">
          <a:extLst xmlns:a="http://schemas.openxmlformats.org/drawingml/2006/main">
            <a:ext uri="{FF2B5EF4-FFF2-40B4-BE49-F238E27FC236}">
              <a16:creationId xmlns:a16="http://schemas.microsoft.com/office/drawing/2014/main" id="{62F98888-0069-4EBC-A8C4-25D2C3E866DA}"/>
            </a:ext>
          </a:extLst>
        </cdr:cNvPr>
        <cdr:cNvSpPr txBox="1"/>
      </cdr:nvSpPr>
      <cdr:spPr>
        <a:xfrm xmlns:a="http://schemas.openxmlformats.org/drawingml/2006/main" rot="16200000">
          <a:off x="-477402" y="886624"/>
          <a:ext cx="1456365" cy="228602"/>
        </a:xfrm>
        <a:prstGeom xmlns:a="http://schemas.openxmlformats.org/drawingml/2006/main" prst="rect">
          <a:avLst/>
        </a:prstGeom>
      </cdr:spPr>
      <cdr:style>
        <a:lnRef xmlns:a="http://schemas.openxmlformats.org/drawingml/2006/main" idx="2">
          <a:schemeClr val="accent3"/>
        </a:lnRef>
        <a:fillRef xmlns:a="http://schemas.openxmlformats.org/drawingml/2006/main" idx="1">
          <a:schemeClr val="lt1"/>
        </a:fillRef>
        <a:effectRef xmlns:a="http://schemas.openxmlformats.org/drawingml/2006/main" idx="0">
          <a:schemeClr val="accent3"/>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ACC54DDC-81DD-4704-8B71-E043FF0C74A9}" type="TxLink">
            <a:rPr lang="en-US" sz="1100" b="1" i="0" u="none" strike="noStrike">
              <a:solidFill>
                <a:srgbClr val="000000"/>
              </a:solidFill>
              <a:latin typeface="Calibri"/>
              <a:cs typeface="Calibri"/>
            </a:rPr>
            <a:pPr algn="ctr"/>
            <a:t>Mineralisch</a:t>
          </a:fld>
          <a:endParaRPr lang="de-DE" sz="1100" b="1"/>
        </a:p>
      </cdr:txBody>
    </cdr:sp>
  </cdr:relSizeAnchor>
  <cdr:relSizeAnchor xmlns:cdr="http://schemas.openxmlformats.org/drawingml/2006/chartDrawing">
    <cdr:from>
      <cdr:x>0.03289</cdr:x>
      <cdr:y>0.45709</cdr:y>
    </cdr:from>
    <cdr:to>
      <cdr:x>0.33138</cdr:x>
      <cdr:y>0.53851</cdr:y>
    </cdr:to>
    <cdr:sp macro="" textlink="Programm!$AI$46">
      <cdr:nvSpPr>
        <cdr:cNvPr id="4" name="Textfeld 3">
          <a:extLst xmlns:a="http://schemas.openxmlformats.org/drawingml/2006/main">
            <a:ext uri="{FF2B5EF4-FFF2-40B4-BE49-F238E27FC236}">
              <a16:creationId xmlns:a16="http://schemas.microsoft.com/office/drawing/2014/main" id="{2BDA265A-03F5-40AD-A06A-7E70664450D6}"/>
            </a:ext>
          </a:extLst>
        </cdr:cNvPr>
        <cdr:cNvSpPr txBox="1"/>
      </cdr:nvSpPr>
      <cdr:spPr>
        <a:xfrm xmlns:a="http://schemas.openxmlformats.org/drawingml/2006/main">
          <a:off x="393121" y="1196944"/>
          <a:ext cx="3567509" cy="213210"/>
        </a:xfrm>
        <a:prstGeom xmlns:a="http://schemas.openxmlformats.org/drawingml/2006/main" prst="flowChartTerminator">
          <a:avLst/>
        </a:prstGeom>
        <a:solidFill xmlns:a="http://schemas.openxmlformats.org/drawingml/2006/main">
          <a:schemeClr val="bg1">
            <a:alpha val="80000"/>
          </a:schemeClr>
        </a:solidFill>
      </cdr:spPr>
      <cdr:txBody>
        <a:bodyPr xmlns:a="http://schemas.openxmlformats.org/drawingml/2006/main" vertOverflow="clip" wrap="square" rtlCol="0" anchor="ctr"/>
        <a:lstStyle xmlns:a="http://schemas.openxmlformats.org/drawingml/2006/main"/>
        <a:p xmlns:a="http://schemas.openxmlformats.org/drawingml/2006/main">
          <a:pPr algn="ctr"/>
          <a:fld id="{92226A82-CCB6-4FA1-844B-9391FF1DA98D}" type="TxLink">
            <a:rPr lang="en-US" sz="900" b="0" i="1" u="none" strike="noStrike">
              <a:solidFill>
                <a:schemeClr val="accent6">
                  <a:lumMod val="75000"/>
                </a:schemeClr>
              </a:solidFill>
              <a:latin typeface="+mn-lt"/>
              <a:cs typeface="Arial"/>
            </a:rPr>
            <a:pPr algn="ctr"/>
            <a:t>Abschlag = Düngung min. Herbst 0 kg N </a:t>
          </a:fld>
          <a:endParaRPr lang="de-DE" sz="900" i="1">
            <a:solidFill>
              <a:schemeClr val="accent6">
                <a:lumMod val="75000"/>
              </a:schemeClr>
            </a:solidFill>
            <a:latin typeface="+mn-lt"/>
          </a:endParaRPr>
        </a:p>
      </cdr:txBody>
    </cdr:sp>
  </cdr:relSizeAnchor>
  <cdr:relSizeAnchor xmlns:cdr="http://schemas.openxmlformats.org/drawingml/2006/chartDrawing">
    <cdr:from>
      <cdr:x>0.81715</cdr:x>
      <cdr:y>0.26638</cdr:y>
    </cdr:from>
    <cdr:to>
      <cdr:x>0.97394</cdr:x>
      <cdr:y>0.65927</cdr:y>
    </cdr:to>
    <cdr:sp macro="" textlink="Programm!$AI$45">
      <cdr:nvSpPr>
        <cdr:cNvPr id="5" name="Textfeld 4">
          <a:extLst xmlns:a="http://schemas.openxmlformats.org/drawingml/2006/main">
            <a:ext uri="{FF2B5EF4-FFF2-40B4-BE49-F238E27FC236}">
              <a16:creationId xmlns:a16="http://schemas.microsoft.com/office/drawing/2014/main" id="{025F4100-0534-412E-A2EA-804C18CADED9}"/>
            </a:ext>
          </a:extLst>
        </cdr:cNvPr>
        <cdr:cNvSpPr txBox="1"/>
      </cdr:nvSpPr>
      <cdr:spPr>
        <a:xfrm xmlns:a="http://schemas.openxmlformats.org/drawingml/2006/main">
          <a:off x="9954210" y="697458"/>
          <a:ext cx="1909947" cy="1028700"/>
        </a:xfrm>
        <a:prstGeom xmlns:a="http://schemas.openxmlformats.org/drawingml/2006/main" prst="roundRect">
          <a:avLst/>
        </a:prstGeom>
        <a:noFill xmlns:a="http://schemas.openxmlformats.org/drawingml/2006/main"/>
        <a:ln xmlns:a="http://schemas.openxmlformats.org/drawingml/2006/main" w="19050">
          <a:noFill/>
        </a:ln>
      </cdr:spPr>
      <cdr:txBody>
        <a:bodyPr xmlns:a="http://schemas.openxmlformats.org/drawingml/2006/main" vertOverflow="clip" wrap="square" rtlCol="0" anchor="b"/>
        <a:lstStyle xmlns:a="http://schemas.openxmlformats.org/drawingml/2006/main"/>
        <a:p xmlns:a="http://schemas.openxmlformats.org/drawingml/2006/main">
          <a:pPr marL="0" indent="0" algn="r"/>
          <a:fld id="{FFC5FFB0-D0DD-4021-9184-5299F1BAE749}" type="TxLink">
            <a:rPr lang="en-US" sz="1050" b="0" i="0" u="none" strike="noStrike">
              <a:solidFill>
                <a:schemeClr val="bg1">
                  <a:lumMod val="50000"/>
                </a:schemeClr>
              </a:solidFill>
              <a:latin typeface="Calibri"/>
              <a:ea typeface="+mn-ea"/>
              <a:cs typeface="Calibri"/>
            </a:rPr>
            <a:pPr marL="0" indent="0" algn="r"/>
            <a:t>min. Düngeempfehlung
opt. Zeitraum</a:t>
          </a:fld>
          <a:endParaRPr lang="de-DE" sz="1000" b="0" i="0" u="none" strike="noStrike">
            <a:solidFill>
              <a:schemeClr val="bg1">
                <a:lumMod val="50000"/>
              </a:schemeClr>
            </a:solidFill>
            <a:latin typeface="+mn-lt"/>
            <a:ea typeface="+mn-ea"/>
            <a:cs typeface="Arial"/>
          </a:endParaRPr>
        </a:p>
      </cdr:txBody>
    </cdr:sp>
  </cdr:relSizeAnchor>
  <cdr:relSizeAnchor xmlns:cdr="http://schemas.openxmlformats.org/drawingml/2006/chartDrawing">
    <cdr:from>
      <cdr:x>0.48292</cdr:x>
      <cdr:y>0.44915</cdr:y>
    </cdr:from>
    <cdr:to>
      <cdr:x>0.79544</cdr:x>
      <cdr:y>0.52876</cdr:y>
    </cdr:to>
    <cdr:sp macro="" textlink="Programm!$AI$47">
      <cdr:nvSpPr>
        <cdr:cNvPr id="6" name="Textfeld 1">
          <a:extLst xmlns:a="http://schemas.openxmlformats.org/drawingml/2006/main">
            <a:ext uri="{FF2B5EF4-FFF2-40B4-BE49-F238E27FC236}">
              <a16:creationId xmlns:a16="http://schemas.microsoft.com/office/drawing/2014/main" id="{B8B764D0-3A9C-49AE-8338-D44720C1DF8A}"/>
            </a:ext>
          </a:extLst>
        </cdr:cNvPr>
        <cdr:cNvSpPr txBox="1"/>
      </cdr:nvSpPr>
      <cdr:spPr>
        <a:xfrm xmlns:a="http://schemas.openxmlformats.org/drawingml/2006/main">
          <a:off x="5846092" y="1181652"/>
          <a:ext cx="3783279" cy="209452"/>
        </a:xfrm>
        <a:prstGeom xmlns:a="http://schemas.openxmlformats.org/drawingml/2006/main" prst="flowChartTerminator">
          <a:avLst/>
        </a:prstGeom>
        <a:solidFill xmlns:a="http://schemas.openxmlformats.org/drawingml/2006/main">
          <a:schemeClr val="bg1">
            <a:alpha val="80000"/>
          </a:schemeClr>
        </a:solidFill>
      </cdr:spPr>
      <cdr:txBody>
        <a:bodyPr xmlns:a="http://schemas.openxmlformats.org/drawingml/2006/main" vertOverflow="clip"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fld id="{D7352D66-9A1E-4405-8FCB-7780FF5D9B8D}" type="TxLink">
            <a:rPr lang="en-US" sz="900" b="0" i="1" u="none" strike="noStrike">
              <a:solidFill>
                <a:sysClr val="windowText" lastClr="000000"/>
              </a:solidFill>
              <a:latin typeface="+mn-lt"/>
              <a:ea typeface="+mn-ea"/>
              <a:cs typeface="Arial"/>
            </a:rPr>
            <a:pPr marL="0" indent="0" algn="ctr"/>
            <a:t>min. Düngebedarf Frühjahr  kg N </a:t>
          </a:fld>
          <a:endParaRPr lang="de-DE" sz="900" b="0" i="1" u="none" strike="noStrike">
            <a:solidFill>
              <a:sysClr val="windowText" lastClr="000000"/>
            </a:solidFill>
            <a:latin typeface="+mn-lt"/>
            <a:ea typeface="+mn-ea"/>
            <a:cs typeface="Arial"/>
          </a:endParaRPr>
        </a:p>
      </cdr:txBody>
    </cdr:sp>
  </cdr:relSizeAnchor>
</c:userShape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3D29-3255-43FA-BFDE-BAA0CBA916E8}">
  <dimension ref="A1:ADQ176"/>
  <sheetViews>
    <sheetView showGridLines="0" tabSelected="1" zoomScaleNormal="100" zoomScaleSheetLayoutView="71" workbookViewId="0">
      <selection activeCell="C5" sqref="C5:F5"/>
    </sheetView>
  </sheetViews>
  <sheetFormatPr baseColWidth="10" defaultColWidth="5.6640625" defaultRowHeight="14.4" x14ac:dyDescent="0.3"/>
  <cols>
    <col min="1" max="1" width="8.5546875" style="1" customWidth="1"/>
    <col min="2" max="2" width="4.33203125" style="1" customWidth="1"/>
    <col min="3" max="3" width="4.5546875" style="1" customWidth="1"/>
    <col min="4" max="4" width="5.6640625" style="1" customWidth="1"/>
    <col min="5" max="5" width="5.33203125" style="1" customWidth="1"/>
    <col min="7" max="7" width="1" style="2" customWidth="1"/>
    <col min="8" max="8" width="9.6640625" style="2" customWidth="1"/>
    <col min="9" max="10" width="4.6640625" style="1" customWidth="1"/>
    <col min="11" max="11" width="5.6640625" style="1"/>
    <col min="12" max="12" width="5.6640625" style="1" customWidth="1"/>
    <col min="13" max="13" width="5.6640625" style="1"/>
    <col min="14" max="14" width="5.33203125" style="1" customWidth="1"/>
    <col min="15" max="15" width="5" style="1" customWidth="1"/>
    <col min="16" max="16" width="2.88671875" style="1" customWidth="1"/>
    <col min="17" max="17" width="7.44140625" style="2" customWidth="1"/>
    <col min="18" max="18" width="0.6640625" style="1" customWidth="1"/>
    <col min="19" max="19" width="6.88671875" style="1" customWidth="1"/>
    <col min="20" max="20" width="5.6640625" style="1" customWidth="1"/>
    <col min="21" max="21" width="7.88671875" style="1" customWidth="1"/>
    <col min="22" max="22" width="11.88671875" style="1" customWidth="1"/>
    <col min="23" max="23" width="9.33203125" style="1" customWidth="1"/>
    <col min="24" max="24" width="7.33203125" style="2" customWidth="1"/>
    <col min="25" max="25" width="8.6640625" style="1" customWidth="1"/>
    <col min="26" max="26" width="5.88671875" style="1" customWidth="1"/>
    <col min="27" max="27" width="7.109375" style="1" customWidth="1"/>
    <col min="28" max="28" width="4.88671875" style="1" customWidth="1"/>
    <col min="29" max="34" width="4.6640625" style="67" customWidth="1"/>
    <col min="35" max="35" width="5.5546875" style="67" customWidth="1"/>
    <col min="36" max="39" width="4.6640625" style="67" customWidth="1"/>
    <col min="40" max="40" width="25" style="67" customWidth="1"/>
    <col min="41" max="42" width="6.6640625" style="130" customWidth="1"/>
    <col min="43" max="43" width="8.88671875" style="130" customWidth="1"/>
    <col min="44" max="44" width="8.88671875" style="67" customWidth="1"/>
    <col min="45" max="45" width="9" style="67" customWidth="1"/>
    <col min="46" max="46" width="9.33203125" style="67" customWidth="1"/>
    <col min="47" max="47" width="4.6640625" style="67" customWidth="1"/>
    <col min="48" max="48" width="7.33203125" style="67" customWidth="1"/>
    <col min="49" max="49" width="10" style="67" customWidth="1"/>
    <col min="50" max="50" width="8.33203125" style="67" customWidth="1"/>
    <col min="51" max="51" width="9.88671875" style="67" customWidth="1"/>
    <col min="52" max="55" width="4.6640625" style="67" customWidth="1"/>
    <col min="56" max="61" width="4.6640625" style="391" customWidth="1"/>
    <col min="62" max="63" width="12.109375" style="391" hidden="1" customWidth="1"/>
    <col min="64" max="79" width="12.109375" style="67" hidden="1" customWidth="1"/>
    <col min="80" max="80" width="17.109375" style="67" hidden="1" customWidth="1"/>
    <col min="81" max="82" width="12.109375" style="67" hidden="1" customWidth="1"/>
    <col min="83" max="83" width="16.88671875" style="67" hidden="1" customWidth="1"/>
    <col min="84" max="89" width="12.109375" style="67" hidden="1" customWidth="1"/>
    <col min="90" max="90" width="14.33203125" style="67" hidden="1" customWidth="1"/>
    <col min="91" max="95" width="12.109375" style="67" hidden="1" customWidth="1"/>
    <col min="96" max="96" width="12.109375" style="130" hidden="1" customWidth="1"/>
    <col min="97" max="104" width="12.109375" style="67" hidden="1" customWidth="1"/>
    <col min="105" max="129" width="12.109375" style="1" hidden="1" customWidth="1"/>
    <col min="130" max="130" width="16.109375" style="1" hidden="1" customWidth="1"/>
    <col min="131" max="132" width="12.109375" style="1" hidden="1" customWidth="1"/>
    <col min="133" max="133" width="15.6640625" style="1" hidden="1" customWidth="1"/>
    <col min="134" max="134" width="12.109375" style="1" hidden="1" customWidth="1"/>
    <col min="135" max="135" width="20.5546875" style="1" hidden="1" customWidth="1"/>
    <col min="136" max="140" width="12.109375" style="1" hidden="1" customWidth="1"/>
    <col min="141" max="155" width="12.109375" style="1" customWidth="1"/>
    <col min="156" max="172" width="5.6640625" style="1" customWidth="1"/>
    <col min="173" max="201" width="5.6640625" style="1"/>
    <col min="202" max="202" width="11" style="1" bestFit="1" customWidth="1"/>
    <col min="203" max="16384" width="5.6640625" style="1"/>
  </cols>
  <sheetData>
    <row r="1" spans="1:135" ht="21" customHeight="1" thickBot="1" x14ac:dyDescent="0.45">
      <c r="D1" s="742" t="str">
        <f>IF(AND(BP7&gt;1,OR(B17="",J6="",BP14&lt;=2)),"Pflichtangaben unvollständig","")</f>
        <v/>
      </c>
      <c r="E1" s="737"/>
      <c r="F1" s="737"/>
      <c r="G1" s="737"/>
      <c r="H1" s="737"/>
      <c r="I1"/>
      <c r="J1" s="137" t="str">
        <f>CONCATENATE("Stickstoff-Düngeempfehlung für Hauptfrüchte ",BP2)</f>
        <v>Stickstoff-Düngeempfehlung für Hauptfrüchte 2025/26</v>
      </c>
      <c r="X1" s="1"/>
      <c r="Y1" s="805"/>
      <c r="Z1" s="805"/>
      <c r="AA1" s="805"/>
      <c r="AB1" s="805"/>
      <c r="AC1" s="1"/>
      <c r="AD1" s="391"/>
      <c r="AE1" s="391"/>
      <c r="AF1" s="797" t="str">
        <f>IF(BQ7=0,"Düngebedarf und mineralische Düngeempfehlung",CONCATENATE("Düngebedarf und mineralische Düngeempfehlung: ",BQ7))</f>
        <v>Düngebedarf und mineralische Düngeempfehlung</v>
      </c>
      <c r="AG1" s="798"/>
      <c r="AH1" s="799"/>
      <c r="AI1" s="799"/>
      <c r="AJ1" s="799"/>
      <c r="AK1" s="799"/>
      <c r="AL1" s="799"/>
      <c r="AM1" s="799"/>
      <c r="AN1" s="799"/>
      <c r="AO1" s="800"/>
      <c r="AP1" s="800"/>
      <c r="AQ1" s="800"/>
      <c r="AR1" s="799"/>
      <c r="AS1" s="799"/>
      <c r="AT1" s="799"/>
      <c r="AU1" s="389"/>
      <c r="AV1" s="390"/>
      <c r="AW1" s="391"/>
      <c r="AX1" s="391"/>
      <c r="AY1" s="391"/>
      <c r="AZ1" s="391"/>
      <c r="BA1" s="391"/>
      <c r="BB1" s="391"/>
      <c r="BC1" s="391"/>
      <c r="BL1" s="26" t="s">
        <v>434</v>
      </c>
      <c r="BM1" s="26"/>
      <c r="BN1" t="s">
        <v>435</v>
      </c>
      <c r="BO1" t="s">
        <v>386</v>
      </c>
      <c r="BP1" t="s">
        <v>436</v>
      </c>
      <c r="BQ1" s="766"/>
      <c r="CJ1" s="69"/>
      <c r="CK1" s="69"/>
      <c r="CL1" s="69"/>
      <c r="CM1" s="69"/>
      <c r="CN1" s="69"/>
      <c r="CO1" s="69"/>
      <c r="CP1" s="69"/>
      <c r="CT1" s="69"/>
      <c r="CU1" s="69"/>
      <c r="CV1" s="69"/>
      <c r="CW1" s="69"/>
      <c r="CX1" s="69"/>
      <c r="CY1" s="69"/>
      <c r="DA1" s="288" t="s">
        <v>473</v>
      </c>
      <c r="DB1" s="216"/>
      <c r="DC1" s="216"/>
      <c r="DD1" s="216" t="s">
        <v>291</v>
      </c>
      <c r="DE1" s="216"/>
      <c r="DF1" s="216"/>
      <c r="DG1" s="216"/>
      <c r="DH1" s="216"/>
      <c r="DI1" s="216"/>
      <c r="DJ1" s="216"/>
      <c r="DK1" s="216"/>
      <c r="DL1" s="216"/>
      <c r="DM1" s="216"/>
      <c r="DN1" s="216"/>
      <c r="DO1" s="216"/>
      <c r="DP1" s="216"/>
      <c r="DQ1" s="216"/>
      <c r="DR1" s="216"/>
      <c r="DS1" s="216"/>
      <c r="DT1" s="216"/>
      <c r="DU1" s="216" t="s">
        <v>238</v>
      </c>
      <c r="DV1" s="289" t="s">
        <v>206</v>
      </c>
      <c r="DW1" s="290"/>
    </row>
    <row r="2" spans="1:135" ht="12.6" customHeight="1" thickBot="1" x14ac:dyDescent="0.45">
      <c r="E2" s="737"/>
      <c r="F2" s="737"/>
      <c r="G2" s="737"/>
      <c r="H2" s="737"/>
      <c r="J2" s="5" t="s">
        <v>239</v>
      </c>
      <c r="L2" s="6"/>
      <c r="M2" s="6"/>
      <c r="X2" s="1"/>
      <c r="Y2" s="805"/>
      <c r="Z2" s="805"/>
      <c r="AA2" s="805"/>
      <c r="AB2" s="805"/>
      <c r="AD2" s="391"/>
      <c r="AE2" s="391"/>
      <c r="AF2" s="391"/>
      <c r="AG2" s="391"/>
      <c r="AH2" s="391"/>
      <c r="AI2" s="391"/>
      <c r="AJ2" s="391"/>
      <c r="AK2" s="391"/>
      <c r="AL2" s="391"/>
      <c r="AM2" s="391"/>
      <c r="AN2" s="398"/>
      <c r="AO2" s="399"/>
      <c r="AP2" s="399"/>
      <c r="AQ2" s="399"/>
      <c r="AR2" s="391"/>
      <c r="AS2" s="391"/>
      <c r="AT2" s="391"/>
      <c r="AU2" s="390"/>
      <c r="AV2" s="391"/>
      <c r="AW2" s="391"/>
      <c r="AX2" s="391"/>
      <c r="AY2" s="391"/>
      <c r="AZ2" s="391"/>
      <c r="BA2" s="391"/>
      <c r="BB2" s="391"/>
      <c r="BC2" s="391"/>
      <c r="BL2" s="683" t="s">
        <v>386</v>
      </c>
      <c r="BM2" s="684">
        <v>2026</v>
      </c>
      <c r="BN2" s="685">
        <f>VLOOKUP($BM$2,Jahr!$C$4:$G$10,2,FALSE)</f>
        <v>2025</v>
      </c>
      <c r="BO2" s="685">
        <f>VLOOKUP($BM$2,Jahr!$C$4:$G$10,3,FALSE)</f>
        <v>2026</v>
      </c>
      <c r="BP2" s="685" t="str">
        <f>VLOOKUP($BM$2,Jahr!$C$4:$G$10,4,FALSE)</f>
        <v>2025/26</v>
      </c>
      <c r="BQ2" s="767"/>
      <c r="DA2" s="277" t="s">
        <v>285</v>
      </c>
      <c r="DB2" s="143"/>
      <c r="DC2" s="291">
        <f>$EA$3</f>
        <v>45870</v>
      </c>
      <c r="DD2" s="292">
        <f>IF(INDEX(Hauptfrüchte!AI$6:AI$46,$BP7)="",DW2,INDEX(Hauptfrüchte!AI$6:AI$46,$BP7))</f>
        <v>46266</v>
      </c>
      <c r="DE2" s="291">
        <f>DD2</f>
        <v>46266</v>
      </c>
      <c r="DF2" s="291">
        <f t="shared" ref="DF2:DR2" si="0">DG2</f>
        <v>46265</v>
      </c>
      <c r="DG2" s="291">
        <f t="shared" si="0"/>
        <v>46265</v>
      </c>
      <c r="DH2" s="291">
        <f t="shared" si="0"/>
        <v>46265</v>
      </c>
      <c r="DI2" s="291">
        <f t="shared" si="0"/>
        <v>46265</v>
      </c>
      <c r="DJ2" s="291">
        <f t="shared" si="0"/>
        <v>46265</v>
      </c>
      <c r="DK2" s="291">
        <f t="shared" si="0"/>
        <v>46265</v>
      </c>
      <c r="DL2" s="291">
        <f t="shared" si="0"/>
        <v>46265</v>
      </c>
      <c r="DM2" s="291">
        <f t="shared" si="0"/>
        <v>46265</v>
      </c>
      <c r="DN2" s="291">
        <f t="shared" si="0"/>
        <v>46265</v>
      </c>
      <c r="DO2" s="291">
        <f t="shared" si="0"/>
        <v>46265</v>
      </c>
      <c r="DP2" s="291">
        <f t="shared" si="0"/>
        <v>46265</v>
      </c>
      <c r="DQ2" s="291">
        <f t="shared" si="0"/>
        <v>46265</v>
      </c>
      <c r="DR2" s="291">
        <f t="shared" si="0"/>
        <v>46265</v>
      </c>
      <c r="DS2" s="291">
        <f>DT2</f>
        <v>46265</v>
      </c>
      <c r="DT2" s="291">
        <f>DU2-1</f>
        <v>46265</v>
      </c>
      <c r="DU2" s="293">
        <f>IF(DZ6=DX9,DZ6,IF(DZ6&lt;DX9,DZ6,DZ5))</f>
        <v>46266</v>
      </c>
      <c r="DV2" s="291">
        <f>DU2</f>
        <v>46266</v>
      </c>
      <c r="DW2" s="294">
        <f>$EA$4</f>
        <v>46266</v>
      </c>
      <c r="DZ2" s="548" t="s">
        <v>381</v>
      </c>
      <c r="EA2" s="549"/>
    </row>
    <row r="3" spans="1:135" ht="17.399999999999999" customHeight="1" thickBot="1" x14ac:dyDescent="0.35">
      <c r="G3"/>
      <c r="H3"/>
      <c r="I3"/>
      <c r="J3" s="761" t="s">
        <v>481</v>
      </c>
      <c r="K3" s="761"/>
      <c r="L3" s="761"/>
      <c r="M3" s="761"/>
      <c r="N3" s="761"/>
      <c r="O3" s="761"/>
      <c r="P3" s="761"/>
      <c r="Q3" s="761"/>
      <c r="R3" s="761"/>
      <c r="S3" s="761"/>
      <c r="T3" s="761"/>
      <c r="U3" s="761"/>
      <c r="V3" s="761"/>
      <c r="X3" s="1"/>
      <c r="AD3" s="391"/>
      <c r="AE3" s="391"/>
      <c r="AF3" s="400" t="str">
        <f>H4</f>
        <v>Kultur/Fläche</v>
      </c>
      <c r="AG3" s="401"/>
      <c r="AH3" s="401"/>
      <c r="AI3" s="401"/>
      <c r="AJ3" s="401"/>
      <c r="AK3" s="402"/>
      <c r="AL3" s="402"/>
      <c r="AM3" s="402"/>
      <c r="AN3" s="401"/>
      <c r="AO3" s="807" t="s">
        <v>571</v>
      </c>
      <c r="AP3" s="808"/>
      <c r="AQ3" s="403"/>
      <c r="AR3" s="404"/>
      <c r="AS3" s="405" t="s">
        <v>226</v>
      </c>
      <c r="AT3" s="406"/>
      <c r="AU3" s="390"/>
      <c r="AW3" s="740" t="s">
        <v>482</v>
      </c>
      <c r="AX3" s="741"/>
      <c r="AY3" s="618"/>
      <c r="AZ3" s="618"/>
      <c r="BA3" s="618"/>
      <c r="BB3" s="427"/>
      <c r="BC3" s="427"/>
      <c r="CB3" s="692" t="s">
        <v>1</v>
      </c>
      <c r="CC3" s="693"/>
      <c r="CD3" s="693"/>
      <c r="CE3" s="693"/>
      <c r="CF3" s="693"/>
      <c r="CG3" s="693"/>
      <c r="CH3" s="693"/>
      <c r="CI3" s="693"/>
      <c r="CJ3" s="693"/>
      <c r="CK3" s="693"/>
      <c r="CL3" s="693"/>
      <c r="CM3" s="693"/>
      <c r="CN3" s="693"/>
      <c r="CO3" s="694"/>
      <c r="CP3" s="693"/>
      <c r="CQ3" s="693"/>
      <c r="CR3" s="693"/>
      <c r="CS3" s="693"/>
      <c r="CT3" s="693"/>
      <c r="CU3" s="693"/>
      <c r="CV3" s="693"/>
      <c r="DA3" s="277" t="s">
        <v>286</v>
      </c>
      <c r="DB3" s="143"/>
      <c r="DC3" s="295">
        <v>0</v>
      </c>
      <c r="DD3" s="295">
        <f>0</f>
        <v>0</v>
      </c>
      <c r="DE3" s="295">
        <f>IF($DD$2=DX9,0,200)</f>
        <v>0</v>
      </c>
      <c r="DF3" s="295">
        <f>DE3</f>
        <v>0</v>
      </c>
      <c r="DG3" s="295">
        <f t="shared" ref="DG3:DT3" si="1">DF3</f>
        <v>0</v>
      </c>
      <c r="DH3" s="295">
        <f t="shared" si="1"/>
        <v>0</v>
      </c>
      <c r="DI3" s="295">
        <f t="shared" si="1"/>
        <v>0</v>
      </c>
      <c r="DJ3" s="295">
        <f t="shared" si="1"/>
        <v>0</v>
      </c>
      <c r="DK3" s="295">
        <f t="shared" si="1"/>
        <v>0</v>
      </c>
      <c r="DL3" s="295">
        <f t="shared" si="1"/>
        <v>0</v>
      </c>
      <c r="DM3" s="295">
        <f t="shared" si="1"/>
        <v>0</v>
      </c>
      <c r="DN3" s="295">
        <f t="shared" si="1"/>
        <v>0</v>
      </c>
      <c r="DO3" s="295">
        <f t="shared" si="1"/>
        <v>0</v>
      </c>
      <c r="DP3" s="295">
        <f t="shared" si="1"/>
        <v>0</v>
      </c>
      <c r="DQ3" s="295">
        <f t="shared" si="1"/>
        <v>0</v>
      </c>
      <c r="DR3" s="295">
        <f t="shared" si="1"/>
        <v>0</v>
      </c>
      <c r="DS3" s="295">
        <f t="shared" si="1"/>
        <v>0</v>
      </c>
      <c r="DT3" s="295">
        <f t="shared" si="1"/>
        <v>0</v>
      </c>
      <c r="DU3" s="295">
        <f>DT3</f>
        <v>0</v>
      </c>
      <c r="DV3" s="295">
        <f>IF($DZ$6&lt;=$DX$9,0,DU3)</f>
        <v>0</v>
      </c>
      <c r="DW3" s="296">
        <f>IF($DZ$6&lt;=$DX$9,0,DV3)</f>
        <v>0</v>
      </c>
      <c r="DZ3" s="549" t="s">
        <v>379</v>
      </c>
      <c r="EA3" s="550">
        <f>DATE(BN2,8,1)</f>
        <v>45870</v>
      </c>
    </row>
    <row r="4" spans="1:135" ht="19.95" customHeight="1" thickTop="1" x14ac:dyDescent="0.3">
      <c r="H4" s="8" t="s">
        <v>0</v>
      </c>
      <c r="I4" s="9"/>
      <c r="J4" s="9"/>
      <c r="K4" s="9"/>
      <c r="L4" s="9"/>
      <c r="M4" s="10"/>
      <c r="N4" s="10"/>
      <c r="O4" s="10"/>
      <c r="P4" s="10"/>
      <c r="Q4" s="10"/>
      <c r="R4" s="11"/>
      <c r="S4" s="604" t="s">
        <v>405</v>
      </c>
      <c r="T4" s="604"/>
      <c r="U4" s="604"/>
      <c r="V4" s="12"/>
      <c r="W4" s="12"/>
      <c r="X4" s="165" t="s">
        <v>2</v>
      </c>
      <c r="Y4" s="166" t="s">
        <v>3</v>
      </c>
      <c r="Z4" s="166" t="s">
        <v>372</v>
      </c>
      <c r="AA4" s="166" t="s">
        <v>378</v>
      </c>
      <c r="AB4" s="831" t="s">
        <v>4</v>
      </c>
      <c r="AC4" s="831"/>
      <c r="AD4" s="387"/>
      <c r="AE4" s="387"/>
      <c r="AF4" s="407" t="str">
        <f>IF(BQ7=0,"",BQ7)</f>
        <v/>
      </c>
      <c r="AG4" s="408"/>
      <c r="AH4" s="408"/>
      <c r="AI4" s="408"/>
      <c r="AJ4" s="408"/>
      <c r="AK4" s="408"/>
      <c r="AL4" s="408" t="str">
        <f>IF(J6=0,"",CONCATENATE("Ertrag: ",J6," ",L6))</f>
        <v/>
      </c>
      <c r="AM4" s="408"/>
      <c r="AN4" s="408"/>
      <c r="AO4" s="409"/>
      <c r="AP4" s="410"/>
      <c r="AQ4" s="410"/>
      <c r="AR4" s="411" t="s">
        <v>48</v>
      </c>
      <c r="AS4" s="411" t="s">
        <v>49</v>
      </c>
      <c r="AT4" s="412" t="s">
        <v>50</v>
      </c>
      <c r="AU4" s="390"/>
      <c r="AW4" s="425" t="s">
        <v>245</v>
      </c>
      <c r="AY4" s="425" t="s">
        <v>45</v>
      </c>
      <c r="AZ4" s="618"/>
      <c r="BA4" s="618"/>
      <c r="BB4" s="387"/>
      <c r="BC4" s="387"/>
      <c r="BD4" s="387"/>
      <c r="BE4" s="387"/>
      <c r="BF4" s="387"/>
      <c r="BG4" s="387"/>
      <c r="BH4" s="387"/>
      <c r="BI4" s="387"/>
      <c r="BJ4" s="387"/>
      <c r="BK4" s="387"/>
      <c r="BL4" s="75" t="s">
        <v>0</v>
      </c>
      <c r="BM4" s="76"/>
      <c r="BN4" s="76"/>
      <c r="BO4" s="76"/>
      <c r="BP4" s="681" t="s">
        <v>433</v>
      </c>
      <c r="BQ4" s="76"/>
      <c r="BR4" s="77" t="s">
        <v>472</v>
      </c>
      <c r="BS4" s="77" t="s">
        <v>91</v>
      </c>
      <c r="BT4" s="77" t="s">
        <v>18</v>
      </c>
      <c r="BU4" s="77" t="s">
        <v>207</v>
      </c>
      <c r="BV4" s="77" t="s">
        <v>207</v>
      </c>
      <c r="BW4" s="77" t="s">
        <v>207</v>
      </c>
      <c r="BX4" s="77" t="s">
        <v>19</v>
      </c>
      <c r="BY4" s="77" t="s">
        <v>20</v>
      </c>
      <c r="BZ4" s="77" t="s">
        <v>21</v>
      </c>
      <c r="CA4" s="712" t="s">
        <v>349</v>
      </c>
      <c r="CB4" s="552"/>
      <c r="CC4" s="101" t="s">
        <v>25</v>
      </c>
      <c r="CD4" s="102"/>
      <c r="CE4" s="102"/>
      <c r="CF4" s="101"/>
      <c r="CG4" s="121" t="s">
        <v>45</v>
      </c>
      <c r="CH4" s="102"/>
      <c r="CI4" s="101" t="s">
        <v>387</v>
      </c>
      <c r="CJ4" s="102"/>
      <c r="CK4" s="102"/>
      <c r="CL4" s="103"/>
      <c r="CM4" s="103"/>
      <c r="CN4" s="103"/>
      <c r="CO4" s="284" t="s">
        <v>557</v>
      </c>
      <c r="CP4" s="67" t="s">
        <v>556</v>
      </c>
      <c r="CQ4" s="103"/>
      <c r="CR4" s="103"/>
      <c r="CS4" s="595" t="s">
        <v>392</v>
      </c>
      <c r="CT4" s="573" t="s">
        <v>222</v>
      </c>
      <c r="CU4" s="593" t="s">
        <v>391</v>
      </c>
      <c r="CV4" s="104"/>
      <c r="CZ4" s="68"/>
      <c r="DA4" s="297" t="s">
        <v>287</v>
      </c>
      <c r="DB4" s="298"/>
      <c r="DC4" s="298"/>
      <c r="DD4" s="298" t="str">
        <f>IF(DD2&lt;&gt;DW2,"Saat","")</f>
        <v/>
      </c>
      <c r="DE4" s="298"/>
      <c r="DF4" s="298"/>
      <c r="DG4" s="298"/>
      <c r="DH4" s="298"/>
      <c r="DI4" s="298"/>
      <c r="DJ4" s="298"/>
      <c r="DK4" s="298"/>
      <c r="DL4" s="298"/>
      <c r="DM4" s="298"/>
      <c r="DN4" s="298"/>
      <c r="DO4" s="298"/>
      <c r="DP4" s="298"/>
      <c r="DQ4" s="298"/>
      <c r="DR4" s="298"/>
      <c r="DS4" s="298"/>
      <c r="DT4" s="298"/>
      <c r="DU4" s="298" t="str">
        <f>IF(DZ6&lt;DW2,"Ernte","")</f>
        <v/>
      </c>
      <c r="DV4" s="298"/>
      <c r="DW4" s="299" t="str">
        <f>IF(DU2=DX9,"",IF(DU4="",CONCATENATE("Ernte",DX4),""))</f>
        <v/>
      </c>
      <c r="DX4" s="218" t="s">
        <v>241</v>
      </c>
      <c r="DZ4" s="549" t="s">
        <v>380</v>
      </c>
      <c r="EA4" s="550">
        <f>DATE(BO2,9,1)</f>
        <v>46266</v>
      </c>
    </row>
    <row r="5" spans="1:135" ht="20.25" customHeight="1" x14ac:dyDescent="0.3">
      <c r="A5" s="14" t="s">
        <v>5</v>
      </c>
      <c r="B5" s="14"/>
      <c r="C5" s="842"/>
      <c r="D5" s="842"/>
      <c r="E5" s="842"/>
      <c r="F5" s="842"/>
      <c r="H5" s="16" t="s">
        <v>6</v>
      </c>
      <c r="I5" s="10"/>
      <c r="J5" s="10"/>
      <c r="K5" s="10"/>
      <c r="L5" s="10"/>
      <c r="M5" s="10"/>
      <c r="N5" s="10"/>
      <c r="O5" s="10"/>
      <c r="P5" s="10"/>
      <c r="Q5" s="10"/>
      <c r="R5" s="11"/>
      <c r="S5" s="804" t="s">
        <v>8</v>
      </c>
      <c r="T5" s="804"/>
      <c r="U5" s="15"/>
      <c r="V5" s="15"/>
      <c r="W5" s="15"/>
      <c r="X5" s="263" t="s">
        <v>395</v>
      </c>
      <c r="Y5" s="264"/>
      <c r="Z5" s="265" t="s">
        <v>396</v>
      </c>
      <c r="AA5" s="265" t="s">
        <v>396</v>
      </c>
      <c r="AB5" s="833" t="s">
        <v>9</v>
      </c>
      <c r="AC5" s="833"/>
      <c r="AD5" s="392"/>
      <c r="AE5" s="392"/>
      <c r="AF5" s="413" t="str" cm="1">
        <f t="array" ref="AF5">IF(BP7&lt;3,"",CONCATENATE("Saat: ",(TEXT(INDEX(Hauptfrüchte!AI$6:AI$46,$BP7),"TT.M.JJ"))))</f>
        <v/>
      </c>
      <c r="AG5" s="414"/>
      <c r="AH5" s="414"/>
      <c r="AI5" s="414" t="str" cm="1">
        <f t="array" ref="AI5">IF(BP7&lt;3,"",CONCATENATE("Ernte: ",(TEXT(INDEX(Hauptfrüchte!AJ$6:AJ$46,$BP7),"TT.M.JJ"))))</f>
        <v/>
      </c>
      <c r="AJ5" s="391"/>
      <c r="AK5" s="391"/>
      <c r="AL5" s="414"/>
      <c r="AM5" s="414"/>
      <c r="AN5" s="414"/>
      <c r="AO5" s="809" t="str">
        <f>Q6</f>
        <v>kg N/ha</v>
      </c>
      <c r="AP5" s="810"/>
      <c r="AQ5" s="415"/>
      <c r="AR5" s="821" t="str">
        <f>Q6</f>
        <v>kg N/ha</v>
      </c>
      <c r="AS5" s="822"/>
      <c r="AT5" s="823"/>
      <c r="AU5" s="390"/>
      <c r="AW5" s="461" t="s">
        <v>346</v>
      </c>
      <c r="AY5" s="461" t="s">
        <v>375</v>
      </c>
      <c r="AZ5" s="618"/>
      <c r="BA5" s="618"/>
      <c r="BB5" s="425"/>
      <c r="BC5" s="425"/>
      <c r="BD5" s="390"/>
      <c r="BE5" s="390"/>
      <c r="BF5" s="390"/>
      <c r="BG5" s="392"/>
      <c r="BH5" s="392"/>
      <c r="BI5" s="392"/>
      <c r="BJ5" s="392"/>
      <c r="BK5" s="392"/>
      <c r="BL5" s="78"/>
      <c r="BM5" s="79" t="s">
        <v>25</v>
      </c>
      <c r="BN5" s="80"/>
      <c r="BO5" s="80"/>
      <c r="BP5" s="80"/>
      <c r="BQ5" s="80"/>
      <c r="BR5" s="81"/>
      <c r="BS5" s="81"/>
      <c r="BT5" s="81" t="s">
        <v>26</v>
      </c>
      <c r="BU5" s="81">
        <v>1</v>
      </c>
      <c r="BV5" s="81">
        <v>2</v>
      </c>
      <c r="BW5" s="81">
        <v>3</v>
      </c>
      <c r="BX5" s="81" t="s">
        <v>11</v>
      </c>
      <c r="BY5" s="81" t="s">
        <v>7</v>
      </c>
      <c r="BZ5" s="81" t="s">
        <v>7</v>
      </c>
      <c r="CA5" s="705" t="s">
        <v>350</v>
      </c>
      <c r="CB5" s="149"/>
      <c r="CC5" s="150">
        <v>1</v>
      </c>
      <c r="CD5" s="150">
        <v>2</v>
      </c>
      <c r="CE5" s="151">
        <v>3</v>
      </c>
      <c r="CF5" s="80"/>
      <c r="CG5" s="554" t="e">
        <f>+BM7+BN7+BO7+BM12+BM11+BN11+BO11+BN14+BO14+BN15+BO15+BO13+BN13+BM17+BN17+CD6+CE6+CD7+CE7+CE10+CD10</f>
        <v>#VALUE!</v>
      </c>
      <c r="CH5" s="80"/>
      <c r="CI5" s="80"/>
      <c r="CJ5" s="557" t="s">
        <v>168</v>
      </c>
      <c r="CK5" s="553" t="s">
        <v>167</v>
      </c>
      <c r="CL5" s="85"/>
      <c r="CM5" s="85" t="s">
        <v>558</v>
      </c>
      <c r="CN5" s="134" t="s">
        <v>41</v>
      </c>
      <c r="CO5" s="769" t="s">
        <v>554</v>
      </c>
      <c r="CQ5" s="121"/>
      <c r="CR5" s="121"/>
      <c r="CS5" s="596" t="s">
        <v>42</v>
      </c>
      <c r="CT5" s="592" t="s">
        <v>42</v>
      </c>
      <c r="CU5" s="594" t="s">
        <v>42</v>
      </c>
      <c r="CV5" s="105"/>
      <c r="CZ5" s="28"/>
      <c r="DA5" s="288" t="s">
        <v>475</v>
      </c>
      <c r="DB5" s="216"/>
      <c r="DC5" s="300"/>
      <c r="DD5" s="300"/>
      <c r="DE5" s="300"/>
      <c r="DF5" s="300"/>
      <c r="DG5" s="300"/>
      <c r="DH5" s="300"/>
      <c r="DI5" s="216"/>
      <c r="DJ5" s="216"/>
      <c r="DK5" s="216" t="s">
        <v>190</v>
      </c>
      <c r="DL5" s="216"/>
      <c r="DM5" s="216"/>
      <c r="DN5" s="216"/>
      <c r="DO5" s="216"/>
      <c r="DP5" s="216" t="s">
        <v>190</v>
      </c>
      <c r="DQ5" s="216"/>
      <c r="DR5" s="216"/>
      <c r="DS5" s="216"/>
      <c r="DT5" s="216"/>
      <c r="DU5" s="216" t="s">
        <v>190</v>
      </c>
      <c r="DV5" s="216"/>
      <c r="DW5" s="216"/>
      <c r="DX5" s="290"/>
      <c r="DZ5" s="219">
        <f>DATE(BO2,8,31)</f>
        <v>46265</v>
      </c>
    </row>
    <row r="6" spans="1:135" ht="20.25" customHeight="1" x14ac:dyDescent="0.3">
      <c r="A6" s="14" t="s">
        <v>10</v>
      </c>
      <c r="B6" s="14"/>
      <c r="C6" s="843"/>
      <c r="D6" s="843"/>
      <c r="E6" s="843"/>
      <c r="F6" s="843"/>
      <c r="H6" s="834" t="s">
        <v>356</v>
      </c>
      <c r="I6" s="834"/>
      <c r="J6" s="801"/>
      <c r="K6" s="801"/>
      <c r="L6" s="16" t="s">
        <v>11</v>
      </c>
      <c r="M6" s="10"/>
      <c r="N6" s="10"/>
      <c r="O6" s="10"/>
      <c r="P6" s="10"/>
      <c r="Q6" s="64" t="s">
        <v>9</v>
      </c>
      <c r="R6" s="17"/>
      <c r="S6" s="806" t="s">
        <v>200</v>
      </c>
      <c r="T6" s="806"/>
      <c r="U6" s="12"/>
      <c r="V6" s="25"/>
      <c r="W6" s="369" t="s">
        <v>48</v>
      </c>
      <c r="X6" s="782"/>
      <c r="Y6" s="783"/>
      <c r="Z6" s="784"/>
      <c r="AA6" s="785"/>
      <c r="AB6" s="839">
        <f>+X6*Z6*-0.1</f>
        <v>0</v>
      </c>
      <c r="AC6" s="839"/>
      <c r="AD6" s="388"/>
      <c r="AE6" s="388"/>
      <c r="AF6" s="416" t="str">
        <f>H7</f>
        <v>N-Bedarfswert bei Ertrag nach Basisdaten</v>
      </c>
      <c r="AG6" s="417"/>
      <c r="AH6" s="417"/>
      <c r="AI6" s="417"/>
      <c r="AJ6" s="417"/>
      <c r="AK6" s="417"/>
      <c r="AL6" s="417"/>
      <c r="AM6" s="417"/>
      <c r="AN6" s="418"/>
      <c r="AO6" s="811">
        <f>Q7</f>
        <v>0</v>
      </c>
      <c r="AP6" s="811"/>
      <c r="AQ6" s="419"/>
      <c r="AR6" s="420">
        <f>BM7</f>
        <v>0</v>
      </c>
      <c r="AS6" s="420">
        <f>BN7</f>
        <v>0</v>
      </c>
      <c r="AT6" s="421">
        <f>BO7</f>
        <v>0</v>
      </c>
      <c r="AU6" s="390"/>
      <c r="AW6" s="425" t="s">
        <v>253</v>
      </c>
      <c r="AY6" s="425" t="s">
        <v>254</v>
      </c>
      <c r="AZ6" s="425"/>
      <c r="BA6" s="425"/>
      <c r="BB6" s="425"/>
      <c r="BC6" s="425"/>
      <c r="BD6" s="390"/>
      <c r="BE6" s="390"/>
      <c r="BF6" s="390"/>
      <c r="BG6" s="388"/>
      <c r="BH6" s="388"/>
      <c r="BI6" s="388"/>
      <c r="BJ6" s="388"/>
      <c r="BK6" s="388"/>
      <c r="BL6" s="82"/>
      <c r="BM6" s="123">
        <v>1</v>
      </c>
      <c r="BN6" s="123">
        <v>2</v>
      </c>
      <c r="BO6" s="123">
        <v>3</v>
      </c>
      <c r="BP6" s="124"/>
      <c r="BQ6" s="80"/>
      <c r="BR6" s="83"/>
      <c r="BS6" s="83"/>
      <c r="BT6" s="83"/>
      <c r="BU6" s="83"/>
      <c r="BV6" s="83"/>
      <c r="BW6" s="83"/>
      <c r="BX6" s="83"/>
      <c r="BY6" s="83"/>
      <c r="BZ6" s="691"/>
      <c r="CA6" s="706"/>
      <c r="CB6" s="689" t="s">
        <v>212</v>
      </c>
      <c r="CC6" s="688">
        <f>+IF($CA$7=1,AB6,0)</f>
        <v>0</v>
      </c>
      <c r="CD6" s="688">
        <f>IF($CA$7=1,0,IF($CA$7=2,AB6,AB6/2))</f>
        <v>0</v>
      </c>
      <c r="CE6" s="688">
        <f>IF($CA$7=3,CD6,0)</f>
        <v>0</v>
      </c>
      <c r="CF6" s="85"/>
      <c r="CG6" s="85"/>
      <c r="CH6" s="85"/>
      <c r="CI6" s="85"/>
      <c r="CJ6" s="558"/>
      <c r="CK6" s="85"/>
      <c r="CL6" s="85"/>
      <c r="CM6" s="576"/>
      <c r="CN6" s="576"/>
      <c r="CO6" s="769" t="s">
        <v>555</v>
      </c>
      <c r="CP6" s="96"/>
      <c r="CQ6" s="96"/>
      <c r="CR6" s="85"/>
      <c r="CS6" s="595"/>
      <c r="CT6" s="573"/>
      <c r="CU6" s="558"/>
      <c r="CV6" s="106"/>
      <c r="CZ6" s="28"/>
      <c r="DA6" s="301" t="s">
        <v>474</v>
      </c>
      <c r="DB6" s="143"/>
      <c r="DC6" s="143" t="s">
        <v>191</v>
      </c>
      <c r="DD6" s="143"/>
      <c r="DE6" s="143"/>
      <c r="DF6" s="143"/>
      <c r="DG6" s="143"/>
      <c r="DH6" s="143"/>
      <c r="DI6" s="143"/>
      <c r="DJ6" s="143"/>
      <c r="DK6" s="143" t="s">
        <v>292</v>
      </c>
      <c r="DL6" s="143"/>
      <c r="DM6" s="143"/>
      <c r="DN6" s="143"/>
      <c r="DO6" s="143"/>
      <c r="DP6" s="143" t="s">
        <v>293</v>
      </c>
      <c r="DQ6" s="143"/>
      <c r="DR6" s="143"/>
      <c r="DS6" s="143"/>
      <c r="DT6" s="143"/>
      <c r="DU6" s="143" t="s">
        <v>294</v>
      </c>
      <c r="DV6" s="143"/>
      <c r="DW6" s="143"/>
      <c r="DX6" s="141" t="s">
        <v>193</v>
      </c>
      <c r="DZ6" s="24">
        <f>IF(INDEX(Hauptfrüchte!AJ$6:AJ$46,$BP7)="",DX9,INDEX(Hauptfrüchte!AJ$6:AJ$46,$BP7))</f>
        <v>46266</v>
      </c>
    </row>
    <row r="7" spans="1:135" ht="20.25" customHeight="1" x14ac:dyDescent="0.3">
      <c r="A7" s="14" t="s">
        <v>12</v>
      </c>
      <c r="B7" s="14"/>
      <c r="C7" s="843"/>
      <c r="D7" s="843"/>
      <c r="E7" s="843"/>
      <c r="F7" s="843"/>
      <c r="H7" s="18" t="s">
        <v>199</v>
      </c>
      <c r="I7" s="16"/>
      <c r="J7" s="19"/>
      <c r="K7" s="16"/>
      <c r="L7" s="10"/>
      <c r="M7" s="16"/>
      <c r="N7" s="16"/>
      <c r="O7" s="16"/>
      <c r="P7" s="16"/>
      <c r="Q7" s="54">
        <f>+BT7</f>
        <v>0</v>
      </c>
      <c r="R7" s="20"/>
      <c r="S7" s="15" t="str">
        <f>IF(BP14&lt;2,"",CONCATENATE("  ",BQ14))</f>
        <v xml:space="preserve">   --</v>
      </c>
      <c r="T7" s="12"/>
      <c r="U7" s="15"/>
      <c r="V7" s="25"/>
      <c r="W7" s="369" t="s">
        <v>49</v>
      </c>
      <c r="X7" s="786"/>
      <c r="Y7" s="787"/>
      <c r="Z7" s="788"/>
      <c r="AA7" s="789"/>
      <c r="AB7" s="839">
        <f>+X7*Z7*-0.1</f>
        <v>0</v>
      </c>
      <c r="AC7" s="839"/>
      <c r="AD7" s="388"/>
      <c r="AE7" s="388"/>
      <c r="AF7" s="422"/>
      <c r="AG7" s="423"/>
      <c r="AH7" s="423"/>
      <c r="AI7" s="423"/>
      <c r="AJ7" s="423"/>
      <c r="AK7" s="423"/>
      <c r="AL7" s="423"/>
      <c r="AM7" s="423"/>
      <c r="AN7" s="423"/>
      <c r="AO7" s="812" t="s">
        <v>281</v>
      </c>
      <c r="AP7" s="813"/>
      <c r="AQ7" s="813"/>
      <c r="AR7" s="813"/>
      <c r="AS7" s="813"/>
      <c r="AT7" s="814"/>
      <c r="AU7" s="391"/>
      <c r="AW7" s="738" t="s">
        <v>412</v>
      </c>
      <c r="AY7" s="738" t="s">
        <v>6</v>
      </c>
      <c r="AZ7" s="738"/>
      <c r="BA7" s="425"/>
      <c r="BB7" s="390"/>
      <c r="BC7" s="390"/>
      <c r="BD7" s="390"/>
      <c r="BE7" s="390"/>
      <c r="BF7" s="390"/>
      <c r="BG7" s="388"/>
      <c r="BH7" s="388"/>
      <c r="BI7" s="388"/>
      <c r="BJ7" s="388"/>
      <c r="BK7" s="388" t="s">
        <v>397</v>
      </c>
      <c r="BL7" s="84"/>
      <c r="BM7" s="125">
        <f>+BU7</f>
        <v>0</v>
      </c>
      <c r="BN7" s="125">
        <f>+BV7</f>
        <v>0</v>
      </c>
      <c r="BO7" s="125">
        <f>+BW7</f>
        <v>0</v>
      </c>
      <c r="BP7" s="100">
        <v>1</v>
      </c>
      <c r="BQ7" s="86">
        <f>INDEX(Hauptfrüchte!A$6:A$46,$BP7)</f>
        <v>0</v>
      </c>
      <c r="BR7" s="87">
        <f>INDEX(Hauptfrüchte!B$6:B$46,$BP7)</f>
        <v>0</v>
      </c>
      <c r="BS7" s="87">
        <f>INDEX(Hauptfrüchte!C$6:C$46,$BP7)</f>
        <v>0</v>
      </c>
      <c r="BT7" s="88">
        <f>INDEX(Hauptfrüchte!D$6:D$46,$BP7)</f>
        <v>0</v>
      </c>
      <c r="BU7" s="87">
        <f>INDEX(Hauptfrüchte!E$6:E$46,$BP7)</f>
        <v>0</v>
      </c>
      <c r="BV7" s="87">
        <f>INDEX(Hauptfrüchte!F$6:F$46,$BP7)</f>
        <v>0</v>
      </c>
      <c r="BW7" s="87">
        <f>INDEX(Hauptfrüchte!G$6:G$46,$BP7)</f>
        <v>0</v>
      </c>
      <c r="BX7" s="87">
        <f>INDEX(Hauptfrüchte!H$6:H$46,$BP7)</f>
        <v>0</v>
      </c>
      <c r="BY7" s="87">
        <f>INDEX(Hauptfrüchte!I$6:I$46,$BP7)</f>
        <v>0</v>
      </c>
      <c r="BZ7" s="88">
        <f>INDEX(Hauptfrüchte!J$6:J$46,$BP7)*-1</f>
        <v>0</v>
      </c>
      <c r="CA7" s="109">
        <f>INDEX(Hauptfrüchte!BI$6:BI$46,Programm!BP7)</f>
        <v>1</v>
      </c>
      <c r="CB7" s="689" t="s">
        <v>213</v>
      </c>
      <c r="CC7" s="688">
        <f>+IF($CA$7=1,AB7,0)</f>
        <v>0</v>
      </c>
      <c r="CD7" s="688">
        <f>IF($CA$7=1,0,IF($CA$7=2,AB7,AB7/2))</f>
        <v>0</v>
      </c>
      <c r="CE7" s="688">
        <f>IF($CA$7=3,CD7,0)</f>
        <v>0</v>
      </c>
      <c r="CF7" s="85"/>
      <c r="CG7" s="85"/>
      <c r="CH7" s="687"/>
      <c r="CI7" s="687"/>
      <c r="CJ7" s="559"/>
      <c r="CK7" s="687"/>
      <c r="CL7" s="687"/>
      <c r="CM7" s="687"/>
      <c r="CN7" s="687"/>
      <c r="CO7" s="574"/>
      <c r="CP7" s="687"/>
      <c r="CQ7" s="687"/>
      <c r="CR7" s="687"/>
      <c r="CS7" s="595"/>
      <c r="CT7" s="573"/>
      <c r="CU7" s="559"/>
      <c r="CV7" s="107"/>
      <c r="CZ7" s="69"/>
      <c r="DA7" s="277"/>
      <c r="DB7" s="143"/>
      <c r="DC7" s="143" t="s">
        <v>192</v>
      </c>
      <c r="DD7" s="143"/>
      <c r="DE7" s="143"/>
      <c r="DF7" s="143"/>
      <c r="DG7" s="143"/>
      <c r="DH7" s="143"/>
      <c r="DI7" s="143"/>
      <c r="DJ7" s="143"/>
      <c r="DK7" s="143"/>
      <c r="DL7" s="291"/>
      <c r="DM7" s="143"/>
      <c r="DN7" s="143"/>
      <c r="DO7" s="291"/>
      <c r="DP7" s="143"/>
      <c r="DQ7" s="143"/>
      <c r="DR7" s="143"/>
      <c r="DS7" s="143"/>
      <c r="DT7" s="143"/>
      <c r="DU7" s="143"/>
      <c r="DV7" s="143"/>
      <c r="DW7" s="143"/>
      <c r="DX7" s="141" t="s">
        <v>192</v>
      </c>
      <c r="DZ7" s="59" t="s">
        <v>242</v>
      </c>
    </row>
    <row r="8" spans="1:135" s="2" customFormat="1" ht="5.4" customHeight="1" x14ac:dyDescent="0.3">
      <c r="A8" s="830" t="s">
        <v>13</v>
      </c>
      <c r="B8" s="830"/>
      <c r="C8" s="844"/>
      <c r="D8" s="844"/>
      <c r="E8" s="844"/>
      <c r="F8" s="844"/>
      <c r="H8" s="56"/>
      <c r="I8" s="14"/>
      <c r="J8" s="57"/>
      <c r="K8" s="14"/>
      <c r="M8" s="14"/>
      <c r="N8" s="14"/>
      <c r="O8" s="14"/>
      <c r="P8" s="14"/>
      <c r="Q8" s="58"/>
      <c r="R8" s="20"/>
      <c r="S8" s="806" t="s">
        <v>16</v>
      </c>
      <c r="T8" s="806"/>
      <c r="U8" s="806"/>
      <c r="V8" s="15"/>
      <c r="W8" s="15"/>
      <c r="X8" s="845"/>
      <c r="Y8" s="835"/>
      <c r="Z8" s="837"/>
      <c r="AA8" s="835"/>
      <c r="AB8" s="839">
        <f>+X8*Z8*-0.1</f>
        <v>0</v>
      </c>
      <c r="AC8" s="839"/>
      <c r="AD8" s="388"/>
      <c r="AE8" s="388"/>
      <c r="AF8" s="424"/>
      <c r="AG8" s="425"/>
      <c r="AH8" s="425"/>
      <c r="AI8" s="425"/>
      <c r="AJ8" s="425"/>
      <c r="AK8" s="426"/>
      <c r="AL8" s="427"/>
      <c r="AM8" s="427"/>
      <c r="AN8" s="428"/>
      <c r="AO8" s="815" t="s">
        <v>571</v>
      </c>
      <c r="AP8" s="816"/>
      <c r="AQ8" s="875"/>
      <c r="AR8" s="817" t="s">
        <v>48</v>
      </c>
      <c r="AS8" s="817" t="s">
        <v>49</v>
      </c>
      <c r="AT8" s="819" t="s">
        <v>50</v>
      </c>
      <c r="AU8" s="391"/>
      <c r="AW8" s="738"/>
      <c r="AY8" s="738"/>
      <c r="AZ8" s="738"/>
      <c r="BA8" s="425"/>
      <c r="BB8" s="390"/>
      <c r="BC8" s="390"/>
      <c r="BD8" s="390"/>
      <c r="BE8" s="390"/>
      <c r="BF8" s="390"/>
      <c r="BG8" s="388"/>
      <c r="BH8" s="388"/>
      <c r="BI8" s="388"/>
      <c r="BJ8" s="388"/>
      <c r="BK8" s="869" t="s">
        <v>398</v>
      </c>
      <c r="BL8" s="89"/>
      <c r="BM8" s="120"/>
      <c r="BN8" s="120"/>
      <c r="BO8" s="120"/>
      <c r="BP8" s="120"/>
      <c r="BQ8" s="90"/>
      <c r="BR8" s="90"/>
      <c r="BS8" s="90"/>
      <c r="BT8" s="90"/>
      <c r="BU8" s="90"/>
      <c r="BV8" s="90"/>
      <c r="BW8" s="90"/>
      <c r="BX8" s="90"/>
      <c r="BY8" s="90"/>
      <c r="BZ8" s="90"/>
      <c r="CA8" s="707"/>
      <c r="CB8" s="702" t="s">
        <v>214</v>
      </c>
      <c r="CC8" s="690">
        <f>+IF($CA$7=1,AB8,0)</f>
        <v>0</v>
      </c>
      <c r="CD8" s="688">
        <f>IF($CA$7=1,0,IF($CA$7=2,AB8,AB8/2))</f>
        <v>0</v>
      </c>
      <c r="CE8" s="688">
        <f>IF($CA$7=3,CD8,0)</f>
        <v>0</v>
      </c>
      <c r="CF8" s="687"/>
      <c r="CG8" s="687"/>
      <c r="CH8" s="687"/>
      <c r="CI8" s="687"/>
      <c r="CJ8" s="559"/>
      <c r="CK8" s="687"/>
      <c r="CL8" s="687"/>
      <c r="CM8" s="687"/>
      <c r="CN8" s="687"/>
      <c r="CO8" s="575"/>
      <c r="CP8" s="687"/>
      <c r="CQ8" s="687"/>
      <c r="CR8" s="687"/>
      <c r="CS8" s="595"/>
      <c r="CT8" s="573"/>
      <c r="CU8" s="559"/>
      <c r="CV8" s="107"/>
      <c r="CZ8" s="69"/>
      <c r="DA8" s="302"/>
      <c r="DB8" s="90"/>
      <c r="DC8" s="90"/>
      <c r="DD8" s="90"/>
      <c r="DE8" s="90"/>
      <c r="DF8" s="90"/>
      <c r="DG8" s="90"/>
      <c r="DH8" s="90"/>
      <c r="DI8" s="90"/>
      <c r="DJ8" s="90"/>
      <c r="DK8" s="90"/>
      <c r="DL8" s="90"/>
      <c r="DM8" s="90"/>
      <c r="DN8" s="90"/>
      <c r="DO8" s="90"/>
      <c r="DP8" s="90"/>
      <c r="DQ8" s="90"/>
      <c r="DR8" s="90"/>
      <c r="DS8" s="90"/>
      <c r="DT8" s="90"/>
      <c r="DU8" s="90"/>
      <c r="DV8" s="90"/>
      <c r="DW8" s="90"/>
      <c r="DX8" s="303"/>
    </row>
    <row r="9" spans="1:135" ht="12.6" customHeight="1" x14ac:dyDescent="0.25">
      <c r="A9" s="830"/>
      <c r="B9" s="830"/>
      <c r="C9" s="842"/>
      <c r="D9" s="842"/>
      <c r="E9" s="842"/>
      <c r="F9" s="842"/>
      <c r="G9" s="1"/>
      <c r="H9" s="10"/>
      <c r="I9" s="10"/>
      <c r="J9" s="10"/>
      <c r="K9" s="10"/>
      <c r="L9" s="10"/>
      <c r="M9" s="10"/>
      <c r="N9" s="10"/>
      <c r="O9" s="10"/>
      <c r="P9" s="10"/>
      <c r="Q9" s="55" t="s">
        <v>201</v>
      </c>
      <c r="R9" s="20"/>
      <c r="S9" s="806"/>
      <c r="T9" s="806"/>
      <c r="U9" s="806"/>
      <c r="V9" s="15"/>
      <c r="W9" s="15"/>
      <c r="X9" s="846"/>
      <c r="Y9" s="836"/>
      <c r="Z9" s="838"/>
      <c r="AA9" s="836"/>
      <c r="AB9" s="839"/>
      <c r="AC9" s="839"/>
      <c r="AD9" s="388"/>
      <c r="AE9" s="388"/>
      <c r="AF9" s="429"/>
      <c r="AG9" s="427"/>
      <c r="AH9" s="427"/>
      <c r="AI9" s="427"/>
      <c r="AJ9" s="427"/>
      <c r="AK9" s="427"/>
      <c r="AL9" s="427"/>
      <c r="AM9" s="427"/>
      <c r="AN9" s="430"/>
      <c r="AO9" s="815"/>
      <c r="AP9" s="816"/>
      <c r="AQ9" s="876"/>
      <c r="AR9" s="818"/>
      <c r="AS9" s="818"/>
      <c r="AT9" s="820"/>
      <c r="AU9" s="391"/>
      <c r="AW9" s="92" t="s">
        <v>371</v>
      </c>
      <c r="AY9" s="92" t="s">
        <v>190</v>
      </c>
      <c r="BA9" s="425"/>
      <c r="BB9" s="390"/>
      <c r="BC9" s="390"/>
      <c r="BD9" s="390"/>
      <c r="BE9" s="390"/>
      <c r="BF9" s="390"/>
      <c r="BG9" s="388"/>
      <c r="BH9" s="388"/>
      <c r="BI9" s="388"/>
      <c r="BJ9" s="388"/>
      <c r="BK9" s="870"/>
      <c r="BL9" s="91"/>
      <c r="BM9" s="687"/>
      <c r="BN9" s="687"/>
      <c r="BO9" s="687"/>
      <c r="BP9" s="687"/>
      <c r="BQ9" s="687"/>
      <c r="BR9" s="687"/>
      <c r="BS9" s="687"/>
      <c r="BT9" s="687" t="s">
        <v>338</v>
      </c>
      <c r="BU9" s="687"/>
      <c r="BV9" s="687"/>
      <c r="BW9" s="687"/>
      <c r="BX9" s="687"/>
      <c r="BY9" s="687"/>
      <c r="BZ9" s="687"/>
      <c r="CA9" s="105"/>
      <c r="CB9" s="703"/>
      <c r="CC9" s="690"/>
      <c r="CD9" s="688"/>
      <c r="CE9" s="688"/>
      <c r="CF9" s="85"/>
      <c r="CG9" s="85"/>
      <c r="CH9" s="687"/>
      <c r="CI9" s="92"/>
      <c r="CJ9" s="560"/>
      <c r="CK9" s="92"/>
      <c r="CL9" s="687"/>
      <c r="CM9" s="687"/>
      <c r="CN9" s="687"/>
      <c r="CO9" s="573"/>
      <c r="CP9" s="687"/>
      <c r="CQ9" s="687"/>
      <c r="CR9" s="687"/>
      <c r="CS9" s="595"/>
      <c r="CT9" s="573"/>
      <c r="CU9" s="559"/>
      <c r="CV9" s="107"/>
      <c r="CZ9" s="69"/>
      <c r="DA9" s="277"/>
      <c r="DB9" s="143"/>
      <c r="DC9" s="291">
        <f>$EA$3</f>
        <v>45870</v>
      </c>
      <c r="DD9" s="291">
        <f>DE9</f>
        <v>45870</v>
      </c>
      <c r="DE9" s="291">
        <f>IFERROR(DF9-INDEX(Hauptfrüchte!P$6:P$46,$BP7),"")</f>
        <v>45870</v>
      </c>
      <c r="DF9" s="293">
        <f>IF(INDEX(Hauptfrüchte!O$6:O$46,$BP7)="",DC9,INDEX(Hauptfrüchte!O$6:O$46,$BP7))</f>
        <v>45870</v>
      </c>
      <c r="DG9" s="291">
        <f>IFERROR(DF9+INDEX(Hauptfrüchte!P$6:P$46,$BP7),"")</f>
        <v>45870</v>
      </c>
      <c r="DH9" s="291">
        <f>DG9</f>
        <v>45870</v>
      </c>
      <c r="DI9" s="291">
        <f>DJ9</f>
        <v>46266</v>
      </c>
      <c r="DJ9" s="291">
        <f>IFERROR(DK9-INDEX(Hauptfrüchte!R$6:R$46,$BP7),"")</f>
        <v>46266</v>
      </c>
      <c r="DK9" s="293">
        <f>IF(INDEX(Hauptfrüchte!Q$6:Q$46,$BP7)="",DX9,INDEX(Hauptfrüchte!Q$6:Q$46,$BP7))</f>
        <v>46266</v>
      </c>
      <c r="DL9" s="291">
        <f>IFERROR(DK9+INDEX(Hauptfrüchte!R$6:R$46,$BP7),"")</f>
        <v>46266</v>
      </c>
      <c r="DM9" s="291">
        <f>DL9</f>
        <v>46266</v>
      </c>
      <c r="DN9" s="291">
        <f>DO9</f>
        <v>46265</v>
      </c>
      <c r="DO9" s="291">
        <f>IFERROR(DP9-INDEX(Hauptfrüchte!T$6:T$46,$BP7),"")</f>
        <v>46265</v>
      </c>
      <c r="DP9" s="293">
        <f>IF(OR(INDEX(Hauptfrüchte!S$6:S$46,$BP7)="",INDEX(Hauptfrüchte!S$6:S$46,$BP7)="-"),DZ5,INDEX(Hauptfrüchte!S$6:S$46,$BP7))</f>
        <v>46265</v>
      </c>
      <c r="DQ9" s="291">
        <f>IFERROR(DP9+INDEX(Hauptfrüchte!T$6:T$46,$BP7),"")</f>
        <v>46265</v>
      </c>
      <c r="DR9" s="291">
        <f>DQ9</f>
        <v>46265</v>
      </c>
      <c r="DS9" s="291">
        <f>DT9</f>
        <v>46266</v>
      </c>
      <c r="DT9" s="291">
        <f>IFERROR(DU9-INDEX(Hauptfrüchte!V$6:V$46,$BP7),"")</f>
        <v>46266</v>
      </c>
      <c r="DU9" s="293">
        <f>IF(INDEX(Hauptfrüchte!U$6:U$46,$BP7)="",DX9,INDEX(Hauptfrüchte!U$6:U$46,$BP7))</f>
        <v>46266</v>
      </c>
      <c r="DV9" s="291">
        <f>IFERROR(DU9+INDEX(Hauptfrüchte!V$6:V$46,$BP7),"")</f>
        <v>46266</v>
      </c>
      <c r="DW9" s="291">
        <f>DV9</f>
        <v>46266</v>
      </c>
      <c r="DX9" s="294">
        <f>$EA$4</f>
        <v>46266</v>
      </c>
    </row>
    <row r="10" spans="1:135" ht="20.25" customHeight="1" x14ac:dyDescent="0.3">
      <c r="A10" s="777" t="s">
        <v>198</v>
      </c>
      <c r="B10" s="53"/>
      <c r="C10" s="778"/>
      <c r="D10" s="778"/>
      <c r="E10" s="778"/>
      <c r="F10" s="779"/>
      <c r="G10" s="1"/>
      <c r="H10" s="10"/>
      <c r="I10" s="10"/>
      <c r="J10" s="10"/>
      <c r="K10" s="10"/>
      <c r="L10" s="10"/>
      <c r="M10" s="10"/>
      <c r="N10" s="10"/>
      <c r="O10" s="10"/>
      <c r="P10" s="10"/>
      <c r="Q10" s="266" t="s">
        <v>9</v>
      </c>
      <c r="R10" s="20"/>
      <c r="S10" s="860" t="s">
        <v>24</v>
      </c>
      <c r="T10" s="861"/>
      <c r="U10" s="861"/>
      <c r="V10" s="161"/>
      <c r="W10" s="161"/>
      <c r="X10" s="790"/>
      <c r="Y10" s="348"/>
      <c r="Z10" s="791"/>
      <c r="AA10" s="791"/>
      <c r="AB10" s="856">
        <f>IF(OR(CM16&lt;2,COUNTBLANK(X10:AA10)&gt;0,BS15=1),0,IF(Y10&gt;CC12,0,IF(X10*Z10&lt;=60,X10*Z10*0.1*-1,-6)))</f>
        <v>0</v>
      </c>
      <c r="AC10" s="857"/>
      <c r="AD10" s="601" t="str">
        <f>IF(BK10=1,"*","")</f>
        <v/>
      </c>
      <c r="AE10" s="388"/>
      <c r="AF10" s="431" t="str">
        <f t="shared" ref="AF10:AF15" si="2">H11</f>
        <v>durch Ertragsdifferenz zu Basisdaten</v>
      </c>
      <c r="AG10" s="432"/>
      <c r="AH10" s="432"/>
      <c r="AI10" s="432"/>
      <c r="AJ10" s="432"/>
      <c r="AK10" s="432"/>
      <c r="AL10" s="432"/>
      <c r="AM10" s="432"/>
      <c r="AN10" s="433"/>
      <c r="AO10" s="873">
        <f>Q11</f>
        <v>0</v>
      </c>
      <c r="AP10" s="874"/>
      <c r="AQ10" s="434"/>
      <c r="AR10" s="540">
        <f t="shared" ref="AR10:AT14" si="3">BM11</f>
        <v>0</v>
      </c>
      <c r="AS10" s="541">
        <f t="shared" si="3"/>
        <v>0</v>
      </c>
      <c r="AT10" s="542">
        <f t="shared" si="3"/>
        <v>0</v>
      </c>
      <c r="AU10" s="391"/>
      <c r="AW10" s="425" t="s">
        <v>246</v>
      </c>
      <c r="AY10" s="425" t="s">
        <v>247</v>
      </c>
      <c r="AZ10" s="425"/>
      <c r="BA10" s="425"/>
      <c r="BB10" s="390"/>
      <c r="BC10" s="390"/>
      <c r="BD10" s="390"/>
      <c r="BE10" s="390"/>
      <c r="BF10" s="390"/>
      <c r="BG10" s="388"/>
      <c r="BH10" s="388"/>
      <c r="BI10" s="388"/>
      <c r="BJ10" s="388"/>
      <c r="BK10" s="709" t="str">
        <f>IF(AND(CM16&lt;2,COUNTBLANK(X10:AA10)&gt;0),"",IF(OR(CM16&lt;2,COUNTBLANK(X10:AA10)&gt;0),1,""))</f>
        <v/>
      </c>
      <c r="BL10" s="91"/>
      <c r="BM10" s="126"/>
      <c r="BN10" s="126"/>
      <c r="BO10" s="126"/>
      <c r="BP10" s="687"/>
      <c r="BQ10" s="687"/>
      <c r="BR10" s="687"/>
      <c r="BS10" s="687"/>
      <c r="BT10" s="687" cm="1">
        <f t="array" ref="BT10">INDEX(Hauptfrüchte!BJ$6:BJ$46,$BP7)</f>
        <v>0</v>
      </c>
      <c r="BU10" s="687"/>
      <c r="BV10" s="687"/>
      <c r="BW10" s="687"/>
      <c r="BX10" s="74"/>
      <c r="BY10" s="74"/>
      <c r="BZ10" s="92"/>
      <c r="CA10" s="105"/>
      <c r="CB10" s="585" t="s">
        <v>39</v>
      </c>
      <c r="CC10" s="688">
        <f>+IF($CA$7=1,AB10,0)</f>
        <v>0</v>
      </c>
      <c r="CD10" s="688">
        <f>IF($CA$7=1,0,IF($CA$7=2,AB10,AB10/2))</f>
        <v>0</v>
      </c>
      <c r="CE10" s="688">
        <f>IF($CA$7=3,CD10,0)</f>
        <v>0</v>
      </c>
      <c r="CF10" s="85"/>
      <c r="CH10" s="85"/>
      <c r="CI10" s="553" t="s">
        <v>388</v>
      </c>
      <c r="CJ10" s="565">
        <f>DATE(BN2,6,22)</f>
        <v>45830</v>
      </c>
      <c r="CK10" s="551">
        <f>DATE(BN2,12,1)</f>
        <v>45992</v>
      </c>
      <c r="CL10" s="85"/>
      <c r="CM10" s="578">
        <v>1</v>
      </c>
      <c r="CN10" s="578"/>
      <c r="CO10" s="579">
        <f>INDEX('org Dung'!F5:F22,$CM10)</f>
        <v>0</v>
      </c>
      <c r="CP10" s="579">
        <f>INDEX('org Dung'!G5:G22,$CM10)</f>
        <v>0</v>
      </c>
      <c r="CQ10" s="85"/>
      <c r="CR10" s="85"/>
      <c r="CS10" s="595"/>
      <c r="CT10" s="573"/>
      <c r="CU10" s="590">
        <v>2</v>
      </c>
      <c r="CV10" s="108" t="s">
        <v>43</v>
      </c>
      <c r="DA10" s="277" t="s">
        <v>194</v>
      </c>
      <c r="DB10" s="143" t="s">
        <v>9</v>
      </c>
      <c r="DC10" s="295">
        <v>0</v>
      </c>
      <c r="DD10" s="295">
        <v>0</v>
      </c>
      <c r="DE10" s="295">
        <f>DF10</f>
        <v>0</v>
      </c>
      <c r="DF10" s="295">
        <f>IF(DF9=DC9,0,1)</f>
        <v>0</v>
      </c>
      <c r="DG10" s="295">
        <f>DF10</f>
        <v>0</v>
      </c>
      <c r="DH10" s="295">
        <v>0</v>
      </c>
      <c r="DI10" s="295">
        <v>0</v>
      </c>
      <c r="DJ10" s="295">
        <f>DK10</f>
        <v>0</v>
      </c>
      <c r="DK10" s="295">
        <f>IFERROR(IF(+'DSN 2020'!D58&gt;90,90,'DSN 2020'!D58),0)</f>
        <v>0</v>
      </c>
      <c r="DL10" s="295">
        <f>DK10</f>
        <v>0</v>
      </c>
      <c r="DM10" s="295">
        <v>0</v>
      </c>
      <c r="DN10" s="295">
        <v>0</v>
      </c>
      <c r="DO10" s="295">
        <f>DP10</f>
        <v>0</v>
      </c>
      <c r="DP10" s="295">
        <f>IFERROR(IF(+'DSN 2020'!E58&gt;90,90,'DSN 2020'!E58),0)</f>
        <v>0</v>
      </c>
      <c r="DQ10" s="295">
        <f>DP10</f>
        <v>0</v>
      </c>
      <c r="DR10" s="295">
        <v>0</v>
      </c>
      <c r="DS10" s="295">
        <v>0</v>
      </c>
      <c r="DT10" s="295">
        <f>DU10</f>
        <v>0</v>
      </c>
      <c r="DU10" s="295">
        <f>+IFERROR(IF('DSN 2020'!F58&gt;90,90,'DSN 2020'!F58),0)</f>
        <v>0</v>
      </c>
      <c r="DV10" s="295">
        <f>DU10</f>
        <v>0</v>
      </c>
      <c r="DW10" s="295">
        <v>0</v>
      </c>
      <c r="DX10" s="296">
        <v>0</v>
      </c>
      <c r="DZ10" s="727"/>
      <c r="EA10" s="67"/>
      <c r="EB10" s="67"/>
      <c r="EC10" s="67"/>
      <c r="ED10" s="67"/>
      <c r="EE10" s="67"/>
    </row>
    <row r="11" spans="1:135" ht="20.25" customHeight="1" thickBot="1" x14ac:dyDescent="0.4">
      <c r="A11" s="30" t="s">
        <v>23</v>
      </c>
      <c r="B11" s="30"/>
      <c r="C11" s="842"/>
      <c r="D11" s="842"/>
      <c r="E11" s="842"/>
      <c r="F11" s="842"/>
      <c r="G11" s="1"/>
      <c r="H11" s="10" t="s">
        <v>202</v>
      </c>
      <c r="I11" s="10"/>
      <c r="J11" s="10"/>
      <c r="K11" s="10"/>
      <c r="L11" s="10"/>
      <c r="M11" s="10"/>
      <c r="N11" s="10"/>
      <c r="O11" s="16"/>
      <c r="P11" s="16"/>
      <c r="Q11" s="527">
        <f>+IFERROR(IF(AND(BP7&gt;1,J6=""),0,IF($BZ$11&gt;40,40,$BZ$11)),0)</f>
        <v>0</v>
      </c>
      <c r="R11" s="528"/>
      <c r="S11" s="529" t="s">
        <v>485</v>
      </c>
      <c r="T11" s="530"/>
      <c r="U11" s="531"/>
      <c r="V11" s="163"/>
      <c r="W11" s="162"/>
      <c r="X11" s="792"/>
      <c r="Y11" s="326"/>
      <c r="Z11" s="793"/>
      <c r="AA11" s="793"/>
      <c r="AB11" s="840">
        <f>IF(OR(CR11=2,CM17&lt;2,COUNTBLANK(X11:AA11)&gt;0,Y11&gt;CC12),0,IF(OR(AND(CO11=1,CP11=2),CP11=6),0,(X11-X17)*AA11*-1))</f>
        <v>0</v>
      </c>
      <c r="AC11" s="841"/>
      <c r="AD11" s="601" t="str">
        <f>IF(BK11=1,"*","")</f>
        <v/>
      </c>
      <c r="AE11" s="388"/>
      <c r="AF11" s="413" t="s">
        <v>221</v>
      </c>
      <c r="AG11" s="414"/>
      <c r="AH11" s="414"/>
      <c r="AI11" s="414"/>
      <c r="AJ11" s="414"/>
      <c r="AK11" s="414"/>
      <c r="AL11" s="414"/>
      <c r="AM11" s="414"/>
      <c r="AN11" s="435"/>
      <c r="AO11" s="828">
        <f>Q12</f>
        <v>0</v>
      </c>
      <c r="AP11" s="829"/>
      <c r="AQ11" s="436"/>
      <c r="AR11" s="437">
        <f t="shared" si="3"/>
        <v>0</v>
      </c>
      <c r="AS11" s="438">
        <f t="shared" si="3"/>
        <v>0</v>
      </c>
      <c r="AT11" s="439">
        <f t="shared" si="3"/>
        <v>0</v>
      </c>
      <c r="AU11" s="390"/>
      <c r="AW11" s="425" t="s">
        <v>251</v>
      </c>
      <c r="AY11" s="425" t="s">
        <v>252</v>
      </c>
      <c r="AZ11" s="425"/>
      <c r="BA11" s="425"/>
      <c r="BB11" s="390"/>
      <c r="BC11" s="390"/>
      <c r="BD11" s="390"/>
      <c r="BE11" s="390"/>
      <c r="BF11" s="390"/>
      <c r="BG11" s="388"/>
      <c r="BH11" s="388"/>
      <c r="BI11" s="388"/>
      <c r="BJ11" s="388"/>
      <c r="BK11" s="709" t="str">
        <f>IF(AND(CM17&lt;2,COUNTBLANK(X11:AA11)&gt;0),"",IF(AND(CR11=1,OR(CM17&lt;2,COUNTBLANK(X11:AA11)&gt;0)),1,""))</f>
        <v/>
      </c>
      <c r="BL11" s="93" t="s">
        <v>208</v>
      </c>
      <c r="BM11" s="100">
        <f>IF(MaxGabe3&gt;0,Q11/3,IF(MaxGabe2&gt;0,Q11/2,Q11))</f>
        <v>0</v>
      </c>
      <c r="BN11" s="100">
        <f>IF(MaxGabe3&gt;0,Q11/3,IF(MaxGabe2&gt;0,Q11/2,0))</f>
        <v>0</v>
      </c>
      <c r="BO11" s="100">
        <f>IF(MaxGabe3&gt;0,Q11/3,0)</f>
        <v>0</v>
      </c>
      <c r="BP11" s="126"/>
      <c r="BQ11" s="118"/>
      <c r="BR11" s="118"/>
      <c r="BS11" s="118"/>
      <c r="BT11" s="118"/>
      <c r="BU11" s="118"/>
      <c r="BV11" s="687"/>
      <c r="BW11" s="687"/>
      <c r="BX11" s="687"/>
      <c r="BY11" s="687"/>
      <c r="BZ11" s="125" t="e">
        <f>IF(J6&gt;BS7,(J6-BS7)/BX7*BY7,(BS7-J6)/BX7*BZ7)</f>
        <v>#DIV/0!</v>
      </c>
      <c r="CA11" s="105"/>
      <c r="CB11" s="587" t="s">
        <v>215</v>
      </c>
      <c r="CC11" s="152" t="e">
        <f>AB11*BM36/100</f>
        <v>#VALUE!</v>
      </c>
      <c r="CD11" s="152" t="e">
        <f>$AB$11*BN36/100</f>
        <v>#VALUE!</v>
      </c>
      <c r="CE11" s="152" t="e">
        <f>$AB$11*BO36/100</f>
        <v>#VALUE!</v>
      </c>
      <c r="CF11" s="85" t="s">
        <v>486</v>
      </c>
      <c r="CG11" s="67">
        <f>+IF(BT10=3,1,IF(BM18&lt;DATE(BO2,1,1),2,3))</f>
        <v>2</v>
      </c>
      <c r="CH11" s="85"/>
      <c r="CI11" s="566" t="s">
        <v>390</v>
      </c>
      <c r="CJ11" s="567">
        <f>CJ10</f>
        <v>45830</v>
      </c>
      <c r="CK11" s="568">
        <f>CK10</f>
        <v>45992</v>
      </c>
      <c r="CL11" s="92"/>
      <c r="CM11" s="578">
        <v>1</v>
      </c>
      <c r="CN11" s="578"/>
      <c r="CO11" s="580">
        <f>INDEX('org Dung'!F5:F22,$CM11)</f>
        <v>0</v>
      </c>
      <c r="CP11" s="580">
        <f>INDEX('org Dung'!G5:G22,$CM11)</f>
        <v>0</v>
      </c>
      <c r="CQ11" s="763" t="s">
        <v>487</v>
      </c>
      <c r="CR11" s="687">
        <f>+IF(CG11=3,2,IF(CG11=1,1,IF(OR(CP11=6,AND(CP11=2,CO11=1),CM11=1),1,2)))</f>
        <v>1</v>
      </c>
      <c r="CS11" s="595"/>
      <c r="CT11" s="573"/>
      <c r="CU11" s="591" t="s">
        <v>44</v>
      </c>
      <c r="CV11" s="107"/>
      <c r="CZ11" s="70"/>
      <c r="DA11" s="304"/>
      <c r="DB11" s="305"/>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7"/>
      <c r="DZ11" s="92"/>
      <c r="EA11" s="721"/>
      <c r="EB11" s="721"/>
      <c r="EC11" s="722"/>
      <c r="ED11" s="722"/>
      <c r="EE11" s="722"/>
    </row>
    <row r="12" spans="1:135" s="26" customFormat="1" ht="20.25" customHeight="1" thickTop="1" x14ac:dyDescent="0.35">
      <c r="A12" s="30" t="s">
        <v>14</v>
      </c>
      <c r="B12" s="30"/>
      <c r="C12" s="843"/>
      <c r="D12" s="843"/>
      <c r="E12" s="843"/>
      <c r="F12" s="843"/>
      <c r="H12" s="16" t="s">
        <v>221</v>
      </c>
      <c r="I12" s="10"/>
      <c r="J12" s="10"/>
      <c r="K12" s="16"/>
      <c r="L12" s="16"/>
      <c r="M12" s="10"/>
      <c r="N12" s="10"/>
      <c r="O12" s="10"/>
      <c r="P12" s="16"/>
      <c r="Q12" s="532">
        <f>B17*-1</f>
        <v>0</v>
      </c>
      <c r="R12" s="528"/>
      <c r="S12" s="533"/>
      <c r="T12" s="533"/>
      <c r="U12" s="533"/>
      <c r="V12" s="15"/>
      <c r="W12" s="15"/>
      <c r="X12" s="215"/>
      <c r="Y12" s="15"/>
      <c r="Z12" s="15"/>
      <c r="AA12" s="27" t="s">
        <v>543</v>
      </c>
      <c r="AB12" s="832">
        <f>MAX(0,SUM(Q7,Q11:Q17,AB6:AB11))</f>
        <v>0</v>
      </c>
      <c r="AC12" s="832"/>
      <c r="AD12" s="602"/>
      <c r="AE12" s="386"/>
      <c r="AF12" s="413" t="str">
        <f>CONCATENATE(H13,": ",BQ13)</f>
        <v>N-Nachlieferung aus Bodenvorrat: Mineralboden</v>
      </c>
      <c r="AG12" s="414"/>
      <c r="AH12" s="414"/>
      <c r="AI12" s="414"/>
      <c r="AJ12" s="414"/>
      <c r="AK12" s="414"/>
      <c r="AL12" s="414"/>
      <c r="AM12" s="414"/>
      <c r="AN12" s="435"/>
      <c r="AO12" s="828">
        <f>Q13</f>
        <v>0</v>
      </c>
      <c r="AP12" s="829"/>
      <c r="AQ12" s="436"/>
      <c r="AR12" s="437">
        <f t="shared" si="3"/>
        <v>0</v>
      </c>
      <c r="AS12" s="438">
        <f t="shared" si="3"/>
        <v>0</v>
      </c>
      <c r="AT12" s="439">
        <f t="shared" si="3"/>
        <v>0</v>
      </c>
      <c r="AU12" s="390"/>
      <c r="AW12" s="425" t="s">
        <v>373</v>
      </c>
      <c r="AY12" s="95" t="s">
        <v>374</v>
      </c>
      <c r="AZ12" s="95"/>
      <c r="BA12" s="95"/>
      <c r="BC12" s="390"/>
      <c r="BD12" s="390"/>
      <c r="BE12" s="390"/>
      <c r="BF12" s="390"/>
      <c r="BG12" s="386"/>
      <c r="BH12" s="386"/>
      <c r="BI12" s="386"/>
      <c r="BJ12" s="386"/>
      <c r="BK12" s="710"/>
      <c r="BL12" s="93" t="s">
        <v>17</v>
      </c>
      <c r="BM12" s="127">
        <f>IF(OR(Q12&gt;-60,CA7=1),Q12,-60+(Q12+60)*0.7)</f>
        <v>0</v>
      </c>
      <c r="BN12" s="127">
        <f>IF($CA$7=3,(Q12-BM12)/2,Q12-BM12)</f>
        <v>0</v>
      </c>
      <c r="BO12" s="125">
        <f>+IF(CA7=3,BN12,0)</f>
        <v>0</v>
      </c>
      <c r="BP12" s="128"/>
      <c r="BQ12" s="94"/>
      <c r="BR12" s="94" t="s">
        <v>471</v>
      </c>
      <c r="BS12" s="736" t="s">
        <v>480</v>
      </c>
      <c r="BT12" s="94"/>
      <c r="BU12" s="94"/>
      <c r="BV12" s="94"/>
      <c r="BW12" s="94"/>
      <c r="BX12" s="94"/>
      <c r="BY12" s="94"/>
      <c r="BZ12" s="94"/>
      <c r="CA12" s="708"/>
      <c r="CB12" s="555" t="s">
        <v>3</v>
      </c>
      <c r="CC12" s="148">
        <f>DATE(BN2,10,1)</f>
        <v>45931</v>
      </c>
      <c r="CD12" s="556">
        <f>IF(Y10&gt;CC12,2,1)</f>
        <v>1</v>
      </c>
      <c r="CE12" s="128"/>
      <c r="CF12" s="95"/>
      <c r="CG12" s="94"/>
      <c r="CH12" s="94"/>
      <c r="CI12" s="94"/>
      <c r="CJ12" s="561"/>
      <c r="CK12" s="94"/>
      <c r="CL12" s="95"/>
      <c r="CM12" s="94"/>
      <c r="CN12" s="94"/>
      <c r="CO12" s="572" t="s">
        <v>163</v>
      </c>
      <c r="CP12" s="133" t="s">
        <v>230</v>
      </c>
      <c r="CQ12" s="94"/>
      <c r="CR12" s="94"/>
      <c r="CS12" s="595"/>
      <c r="CT12" s="573"/>
      <c r="CU12" s="561"/>
      <c r="CV12" s="109"/>
      <c r="CZ12" s="71"/>
      <c r="DA12" s="304"/>
      <c r="DB12" s="305"/>
      <c r="DC12" s="306"/>
      <c r="DD12" s="306"/>
      <c r="DE12" s="306"/>
      <c r="DF12" s="306"/>
      <c r="DG12" s="306"/>
      <c r="DH12" s="306"/>
      <c r="DI12" s="306"/>
      <c r="DJ12" s="306"/>
      <c r="DK12" s="306"/>
      <c r="DL12" s="306"/>
      <c r="DM12" s="306"/>
      <c r="DN12" s="306"/>
      <c r="DO12" s="306"/>
      <c r="DP12" s="306"/>
      <c r="DQ12" s="306"/>
      <c r="DR12" s="306"/>
      <c r="DS12" s="306"/>
      <c r="DT12" s="306"/>
      <c r="DU12" s="306"/>
      <c r="DV12" s="306"/>
      <c r="DW12" s="306"/>
      <c r="DX12" s="307"/>
      <c r="DZ12" s="220"/>
      <c r="EA12" s="721"/>
      <c r="EB12" s="721"/>
      <c r="EC12" s="723"/>
      <c r="ED12" s="723"/>
      <c r="EE12" s="723"/>
    </row>
    <row r="13" spans="1:135" s="26" customFormat="1" ht="20.25" customHeight="1" x14ac:dyDescent="0.35">
      <c r="A13" s="868" t="s">
        <v>37</v>
      </c>
      <c r="B13" s="868"/>
      <c r="C13" s="53"/>
      <c r="D13" s="780"/>
      <c r="E13" s="30"/>
      <c r="F13" s="30"/>
      <c r="H13" s="16" t="s">
        <v>187</v>
      </c>
      <c r="I13" s="16"/>
      <c r="J13" s="16"/>
      <c r="K13" s="16"/>
      <c r="L13" s="16"/>
      <c r="M13" s="16"/>
      <c r="N13" s="16"/>
      <c r="O13" s="16"/>
      <c r="P13" s="16"/>
      <c r="Q13" s="532">
        <f>+BR13</f>
        <v>0</v>
      </c>
      <c r="R13" s="528"/>
      <c r="S13" s="872" t="str">
        <f>CONCATENATE("Frühjahr ",BO2)</f>
        <v>Frühjahr 2026</v>
      </c>
      <c r="T13" s="872"/>
      <c r="U13" s="872"/>
      <c r="V13" s="15"/>
      <c r="W13" s="63"/>
      <c r="X13" s="27"/>
      <c r="Y13" s="27"/>
      <c r="Z13" s="27"/>
      <c r="AA13" s="147" t="s">
        <v>544</v>
      </c>
      <c r="AB13" s="871" t="str">
        <f>CONCATENATE("(",ROUND(MAX(0,SUM(Q7,Q11:Q17,AB6:AB11,D14)),0),")")</f>
        <v>(0)</v>
      </c>
      <c r="AC13" s="871"/>
      <c r="AD13" s="603"/>
      <c r="AE13" s="387"/>
      <c r="AF13" s="413" t="str">
        <f>IF(BQ14=0,H14,CONCATENATE(H14," ",BQ14))</f>
        <v>Vorfrucht  --</v>
      </c>
      <c r="AG13" s="414"/>
      <c r="AH13" s="414"/>
      <c r="AI13" s="440"/>
      <c r="AJ13" s="441"/>
      <c r="AK13" s="414"/>
      <c r="AL13" s="414"/>
      <c r="AM13" s="414"/>
      <c r="AN13" s="435"/>
      <c r="AO13" s="828">
        <f>Q14</f>
        <v>0</v>
      </c>
      <c r="AP13" s="829"/>
      <c r="AQ13" s="436"/>
      <c r="AR13" s="437">
        <f t="shared" si="3"/>
        <v>0</v>
      </c>
      <c r="AS13" s="438">
        <f t="shared" si="3"/>
        <v>0</v>
      </c>
      <c r="AT13" s="439">
        <f t="shared" si="3"/>
        <v>0</v>
      </c>
      <c r="AU13" s="390"/>
      <c r="AW13" s="425" t="s">
        <v>220</v>
      </c>
      <c r="AY13" s="425" t="s">
        <v>413</v>
      </c>
      <c r="AZ13" s="425"/>
      <c r="BA13" s="425"/>
      <c r="BB13" s="390"/>
      <c r="BC13" s="390"/>
      <c r="BD13" s="390"/>
      <c r="BE13" s="390"/>
      <c r="BF13" s="390"/>
      <c r="BG13" s="387"/>
      <c r="BH13" s="387"/>
      <c r="BI13" s="387"/>
      <c r="BJ13" s="387"/>
      <c r="BK13" s="711"/>
      <c r="BL13" s="93" t="s">
        <v>210</v>
      </c>
      <c r="BM13" s="688">
        <f>+IF($CA$7=1,Q13,0)</f>
        <v>0</v>
      </c>
      <c r="BN13" s="688">
        <f>IF($CA$7=1,0,IF($CA$7=2,Q13,Q13/2))</f>
        <v>0</v>
      </c>
      <c r="BO13" s="688">
        <f>IF($CA$7=3,BN13,0)</f>
        <v>0</v>
      </c>
      <c r="BP13" s="100">
        <v>1</v>
      </c>
      <c r="BQ13" s="86" t="str">
        <f>INDEX(Boden!B5:B9,$BP13)</f>
        <v>Mineralboden</v>
      </c>
      <c r="BR13" s="88">
        <f>INDEX(Boden!C5:C9,$BP13)</f>
        <v>0</v>
      </c>
      <c r="BS13" s="119"/>
      <c r="BT13" s="119"/>
      <c r="BU13" s="682"/>
      <c r="BV13" s="97"/>
      <c r="BW13" s="97"/>
      <c r="BX13" s="97"/>
      <c r="BY13" s="97"/>
      <c r="BZ13" s="97"/>
      <c r="CA13" s="708"/>
      <c r="CB13" s="555" t="s">
        <v>46</v>
      </c>
      <c r="CC13" s="543">
        <v>2</v>
      </c>
      <c r="CD13" s="128"/>
      <c r="CE13" s="128"/>
      <c r="CF13" s="95"/>
      <c r="CG13" s="95"/>
      <c r="CH13" s="95"/>
      <c r="CI13" s="95"/>
      <c r="CJ13" s="562"/>
      <c r="CK13" s="95"/>
      <c r="CL13" s="95"/>
      <c r="CM13" s="578"/>
      <c r="CN13" s="576"/>
      <c r="CO13" s="577" t="s">
        <v>284</v>
      </c>
      <c r="CP13" s="135" t="s">
        <v>231</v>
      </c>
      <c r="CQ13" s="95"/>
      <c r="CR13" s="95"/>
      <c r="CS13" s="595"/>
      <c r="CT13" s="576"/>
      <c r="CU13" s="562"/>
      <c r="CV13" s="110"/>
      <c r="CZ13" s="68"/>
      <c r="DA13" s="304"/>
      <c r="DB13" s="305"/>
      <c r="DC13" s="306"/>
      <c r="DD13" s="306"/>
      <c r="DE13" s="306"/>
      <c r="DF13" s="306"/>
      <c r="DG13" s="306"/>
      <c r="DH13" s="306"/>
      <c r="DI13" s="306"/>
      <c r="DJ13" s="306"/>
      <c r="DK13" s="306"/>
      <c r="DL13" s="306"/>
      <c r="DM13" s="306"/>
      <c r="DN13" s="306"/>
      <c r="DO13" s="306"/>
      <c r="DP13" s="306"/>
      <c r="DQ13" s="306"/>
      <c r="DR13" s="306"/>
      <c r="DS13" s="306"/>
      <c r="DT13" s="306"/>
      <c r="DU13" s="306"/>
      <c r="DV13" s="306"/>
      <c r="DW13" s="306"/>
      <c r="DX13" s="307"/>
      <c r="DZ13" s="220"/>
      <c r="EA13" s="721"/>
      <c r="EB13" s="721"/>
      <c r="EC13" s="723"/>
      <c r="ED13" s="723"/>
      <c r="EE13" s="723"/>
    </row>
    <row r="14" spans="1:135" s="26" customFormat="1" ht="20.25" customHeight="1" x14ac:dyDescent="0.3">
      <c r="A14" s="30"/>
      <c r="B14" s="66" t="s">
        <v>559</v>
      </c>
      <c r="C14" s="30"/>
      <c r="D14" s="735">
        <f>IFERROR(IF(AND(CC13&gt;1,'DSN 2020'!S9&gt;0),'DSN 2020'!S9*-1,0),0)</f>
        <v>0</v>
      </c>
      <c r="E14" s="65" t="s">
        <v>9</v>
      </c>
      <c r="F14" s="65"/>
      <c r="H14" s="16" t="s">
        <v>38</v>
      </c>
      <c r="I14" s="16"/>
      <c r="J14" s="16"/>
      <c r="K14" s="16"/>
      <c r="L14" s="16"/>
      <c r="M14" s="16"/>
      <c r="N14" s="16"/>
      <c r="O14" s="16"/>
      <c r="P14" s="16"/>
      <c r="Q14" s="532">
        <f>+BR14</f>
        <v>0</v>
      </c>
      <c r="R14" s="534"/>
      <c r="S14" s="535" t="s">
        <v>227</v>
      </c>
      <c r="T14" s="533"/>
      <c r="U14" s="533"/>
      <c r="V14" s="15"/>
      <c r="W14" s="15"/>
      <c r="X14" s="792"/>
      <c r="Y14" s="326"/>
      <c r="Z14" s="793"/>
      <c r="AA14" s="793"/>
      <c r="AB14" s="839">
        <f>IFERROR(IF(OR(CM14&lt;2,COUNTBLANK(X14:AA14)&gt;0),0,X14*Z14*(100-CP14)/100*CS14/100*-1),0)</f>
        <v>0</v>
      </c>
      <c r="AC14" s="839"/>
      <c r="AD14" s="601" t="str">
        <f>IF(BK14=1,"*","")</f>
        <v/>
      </c>
      <c r="AE14" s="388"/>
      <c r="AF14" s="442" t="str">
        <f>IF(BQ15=0,H15,CONCATENATE(H15," ",BQ15))</f>
        <v>Zwischenfrucht keine</v>
      </c>
      <c r="AG14" s="417"/>
      <c r="AH14" s="417"/>
      <c r="AI14" s="443"/>
      <c r="AJ14" s="418"/>
      <c r="AK14" s="417"/>
      <c r="AL14" s="417"/>
      <c r="AM14" s="417"/>
      <c r="AN14" s="444"/>
      <c r="AO14" s="847">
        <f>Q15</f>
        <v>0</v>
      </c>
      <c r="AP14" s="848"/>
      <c r="AQ14" s="445"/>
      <c r="AR14" s="446">
        <f t="shared" si="3"/>
        <v>0</v>
      </c>
      <c r="AS14" s="447">
        <f t="shared" si="3"/>
        <v>0</v>
      </c>
      <c r="AT14" s="448">
        <f t="shared" si="3"/>
        <v>0</v>
      </c>
      <c r="AU14" s="390"/>
      <c r="AW14" s="92" t="s">
        <v>410</v>
      </c>
      <c r="AY14" s="92" t="s">
        <v>411</v>
      </c>
      <c r="AZ14" s="425"/>
      <c r="BA14" s="425"/>
      <c r="BB14" s="390"/>
      <c r="BC14" s="390"/>
      <c r="BD14" s="390"/>
      <c r="BE14" s="390"/>
      <c r="BF14" s="390"/>
      <c r="BG14" s="388"/>
      <c r="BH14" s="388"/>
      <c r="BI14" s="388"/>
      <c r="BJ14" s="388"/>
      <c r="BK14" s="709" t="str">
        <f>IF(AND(CM14&lt;2,COUNTBLANK(X14:AA14)&gt;0),"",IF(OR(CM14&lt;2,COUNTBLANK(X14:AA14)&gt;0),1,""))</f>
        <v/>
      </c>
      <c r="BL14" s="93" t="s">
        <v>38</v>
      </c>
      <c r="BM14" s="688">
        <f>+IF($CA$7=1,Q14,0)</f>
        <v>0</v>
      </c>
      <c r="BN14" s="688">
        <f>IF($CA$7=1,0,IF($CA$7=2,Q14,Q14/2))</f>
        <v>0</v>
      </c>
      <c r="BO14" s="688">
        <f>IF($CA$7=3,BN14,0)</f>
        <v>0</v>
      </c>
      <c r="BP14" s="100">
        <v>2</v>
      </c>
      <c r="BQ14" s="86" t="str">
        <f>INDEX(Vorfrucht!B4:B36,$BP14)</f>
        <v xml:space="preserve"> --</v>
      </c>
      <c r="BR14" s="88">
        <f>INDEX(Vorfrucht!C4:C36,$BP14)</f>
        <v>0</v>
      </c>
      <c r="BS14" s="119"/>
      <c r="BT14" s="119"/>
      <c r="BU14" s="118"/>
      <c r="BV14" s="687"/>
      <c r="BW14" s="687"/>
      <c r="BX14" s="687"/>
      <c r="BY14" s="687"/>
      <c r="BZ14" s="687"/>
      <c r="CA14" s="708"/>
      <c r="CB14" s="153" t="s">
        <v>216</v>
      </c>
      <c r="CC14" s="154" t="e">
        <f>$AB14*(BM33*$CS33+BT33*$CT33+CA33*$CU33)/100</f>
        <v>#VALUE!</v>
      </c>
      <c r="CD14" s="154" t="e">
        <f t="shared" ref="CD14:CE17" si="4">+$AB14*(BN33*$CS33+BU33*$CT33+CB33*$CU33)/100</f>
        <v>#VALUE!</v>
      </c>
      <c r="CE14" s="155" t="e">
        <f t="shared" si="4"/>
        <v>#VALUE!</v>
      </c>
      <c r="CF14" s="695"/>
      <c r="CG14" s="695"/>
      <c r="CH14" s="695"/>
      <c r="CI14" s="569" t="s">
        <v>389</v>
      </c>
      <c r="CJ14" s="570">
        <f>DATE(BO2,1,15)</f>
        <v>46037</v>
      </c>
      <c r="CK14" s="571">
        <f>DATE(BO2,8,31)</f>
        <v>46265</v>
      </c>
      <c r="CM14" s="581">
        <v>1</v>
      </c>
      <c r="CN14" s="578">
        <f>INDEX('org Dung'!B5:B22,$CM14)</f>
        <v>0</v>
      </c>
      <c r="CO14" s="580">
        <f>INDEX('org Dung'!E5:E22,$CM14)</f>
        <v>0</v>
      </c>
      <c r="CP14" s="589">
        <f>INDEX('org Dung'!D5:D22,$CM14)</f>
        <v>0</v>
      </c>
      <c r="CQ14" s="94"/>
      <c r="CR14" s="700"/>
      <c r="CS14" s="597" t="e">
        <f>IF(CU14&gt;CT14,CU14,CT14)</f>
        <v>#DIV/0!</v>
      </c>
      <c r="CT14" s="578">
        <f>INDEX('org Dung'!C5:C22,$CM14)</f>
        <v>0</v>
      </c>
      <c r="CU14" s="580" t="e">
        <f>+AA14/Z14*100</f>
        <v>#DIV/0!</v>
      </c>
      <c r="CV14" s="112"/>
      <c r="CZ14" s="69"/>
      <c r="DA14" s="277"/>
      <c r="DB14" s="143"/>
      <c r="DC14" s="295"/>
      <c r="DD14" s="295"/>
      <c r="DE14" s="295"/>
      <c r="DF14" s="295"/>
      <c r="DG14" s="295"/>
      <c r="DH14" s="295"/>
      <c r="DI14" s="295"/>
      <c r="DJ14" s="295"/>
      <c r="DK14" s="295"/>
      <c r="DL14" s="295"/>
      <c r="DM14" s="295"/>
      <c r="DN14" s="295"/>
      <c r="DO14" s="295"/>
      <c r="DP14" s="295"/>
      <c r="DQ14" s="295"/>
      <c r="DR14" s="295"/>
      <c r="DS14" s="295"/>
      <c r="DT14" s="295"/>
      <c r="DU14" s="295"/>
      <c r="DV14" s="295"/>
      <c r="DW14" s="295"/>
      <c r="DX14" s="296"/>
      <c r="DZ14" s="92"/>
      <c r="EA14" s="721"/>
      <c r="EB14" s="721"/>
      <c r="EC14" s="723"/>
      <c r="ED14" s="723"/>
      <c r="EE14" s="723"/>
    </row>
    <row r="15" spans="1:135" s="26" customFormat="1" ht="20.25" customHeight="1" x14ac:dyDescent="0.3">
      <c r="A15" s="30" t="s">
        <v>560</v>
      </c>
      <c r="B15" s="30"/>
      <c r="C15" s="30"/>
      <c r="D15" s="30"/>
      <c r="E15" s="30"/>
      <c r="F15" s="30"/>
      <c r="H15" s="16" t="s">
        <v>39</v>
      </c>
      <c r="I15" s="16"/>
      <c r="J15" s="16"/>
      <c r="K15" s="16"/>
      <c r="L15" s="16"/>
      <c r="M15" s="16"/>
      <c r="N15" s="16"/>
      <c r="O15" s="16"/>
      <c r="P15" s="16"/>
      <c r="Q15" s="532">
        <f>+BR15</f>
        <v>0</v>
      </c>
      <c r="R15" s="536"/>
      <c r="S15" s="535" t="s">
        <v>228</v>
      </c>
      <c r="T15" s="533"/>
      <c r="U15" s="533"/>
      <c r="V15" s="15"/>
      <c r="W15" s="15"/>
      <c r="X15" s="792"/>
      <c r="Y15" s="326"/>
      <c r="Z15" s="793"/>
      <c r="AA15" s="793"/>
      <c r="AB15" s="839">
        <f>IFERROR(IF(OR(CM15&lt;2,COUNTBLANK(X15:AA15)&gt;0),0,X15*Z15*(100-CP15)/100*CS15/100*-1),0)</f>
        <v>0</v>
      </c>
      <c r="AC15" s="839"/>
      <c r="AD15" s="601" t="str">
        <f>IF(BK15=1,"*","")</f>
        <v/>
      </c>
      <c r="AE15" s="388"/>
      <c r="AF15" s="773" t="str">
        <f t="shared" si="2"/>
        <v>Mineral. Düngung</v>
      </c>
      <c r="AG15" s="449"/>
      <c r="AH15" s="449"/>
      <c r="AI15" s="449"/>
      <c r="AJ15" s="450" t="str">
        <f>H17</f>
        <v>im Herbst nur zu WG, WRa</v>
      </c>
      <c r="AK15" s="450"/>
      <c r="AL15" s="450"/>
      <c r="AM15" s="450"/>
      <c r="AN15" s="451"/>
      <c r="AO15" s="854">
        <f>Q17</f>
        <v>0</v>
      </c>
      <c r="AP15" s="855"/>
      <c r="AQ15" s="452"/>
      <c r="AR15" s="453">
        <f>IFERROR(BM17,0)</f>
        <v>0</v>
      </c>
      <c r="AS15" s="454">
        <f>IFERROR(BN17,0)</f>
        <v>0</v>
      </c>
      <c r="AT15" s="455">
        <f>BO17</f>
        <v>0</v>
      </c>
      <c r="AU15" s="391"/>
      <c r="AW15" s="92" t="s">
        <v>409</v>
      </c>
      <c r="AY15" s="92" t="s">
        <v>370</v>
      </c>
      <c r="AZ15" s="425"/>
      <c r="BA15" s="425"/>
      <c r="BB15" s="390"/>
      <c r="BC15" s="390"/>
      <c r="BD15" s="390"/>
      <c r="BE15" s="390"/>
      <c r="BF15" s="390"/>
      <c r="BG15" s="388"/>
      <c r="BH15" s="388"/>
      <c r="BI15" s="388"/>
      <c r="BJ15" s="388"/>
      <c r="BK15" s="709" t="str">
        <f>IF(AND(CM15&lt;2,COUNTBLANK(X15:AA15)&gt;0),"",IF(OR(CM15&lt;2,COUNTBLANK(X15:AA15)&gt;0),1,""))</f>
        <v/>
      </c>
      <c r="BL15" s="93" t="s">
        <v>209</v>
      </c>
      <c r="BM15" s="688">
        <f>+IF($CA$7=1,Q15,0)</f>
        <v>0</v>
      </c>
      <c r="BN15" s="688">
        <f>IF($CA$7=1,0,IF($CA$7=2,Q15,Q15/2))</f>
        <v>0</v>
      </c>
      <c r="BO15" s="688">
        <f>IF($CA$7=3,BN15,0)</f>
        <v>0</v>
      </c>
      <c r="BP15" s="100">
        <v>1</v>
      </c>
      <c r="BQ15" s="86" t="str">
        <f>INDEX(Zwischenfrucht!B4:B16,$BP15)</f>
        <v>keine</v>
      </c>
      <c r="BR15" s="88">
        <f>INDEX(Zwischenfrucht!C4:C16,$BP15)</f>
        <v>0</v>
      </c>
      <c r="BS15" s="94">
        <f>INDEX(Zwischenfrucht!G4:G16,$BP15)</f>
        <v>1</v>
      </c>
      <c r="BT15" s="94"/>
      <c r="BU15" s="94"/>
      <c r="BV15" s="95"/>
      <c r="BW15" s="95"/>
      <c r="BX15" s="687"/>
      <c r="BY15" s="687"/>
      <c r="BZ15" s="687"/>
      <c r="CA15" s="708"/>
      <c r="CB15" s="156" t="s">
        <v>217</v>
      </c>
      <c r="CC15" s="157" t="e">
        <f>$AB15*(BM34*$CS34+BT34*$CT34+CA34*$CU34)/100</f>
        <v>#VALUE!</v>
      </c>
      <c r="CD15" s="157" t="e">
        <f t="shared" si="4"/>
        <v>#VALUE!</v>
      </c>
      <c r="CE15" s="158" t="e">
        <f t="shared" si="4"/>
        <v>#VALUE!</v>
      </c>
      <c r="CF15" s="695"/>
      <c r="CG15" s="695"/>
      <c r="CH15" s="695"/>
      <c r="CI15" s="111"/>
      <c r="CJ15" s="563"/>
      <c r="CK15" s="111"/>
      <c r="CM15" s="582">
        <v>1</v>
      </c>
      <c r="CN15" s="578">
        <f>INDEX('org Dung'!B5:B22,$CM15)</f>
        <v>0</v>
      </c>
      <c r="CO15" s="580">
        <f>INDEX('org Dung'!E5:E22,$CM15)</f>
        <v>0</v>
      </c>
      <c r="CP15" s="589">
        <f>INDEX('org Dung'!D5:D22,$CM15)</f>
        <v>0</v>
      </c>
      <c r="CQ15" s="94"/>
      <c r="CR15" s="700"/>
      <c r="CS15" s="598" t="e">
        <f>IF(CU15&gt;CT15,CU15,CT15)</f>
        <v>#DIV/0!</v>
      </c>
      <c r="CT15" s="578">
        <f>INDEX('org Dung'!C5:C22,$CM15)</f>
        <v>0</v>
      </c>
      <c r="CU15" s="580" t="e">
        <f>+AA15/Z15*100</f>
        <v>#DIV/0!</v>
      </c>
      <c r="CV15" s="112"/>
      <c r="CZ15" s="69"/>
      <c r="DA15" s="180" t="s">
        <v>195</v>
      </c>
      <c r="DB15" s="95"/>
      <c r="DC15" s="295">
        <v>100</v>
      </c>
      <c r="DD15" s="295">
        <v>100</v>
      </c>
      <c r="DE15" s="295">
        <v>100</v>
      </c>
      <c r="DF15" s="295">
        <v>100</v>
      </c>
      <c r="DG15" s="295">
        <v>100</v>
      </c>
      <c r="DH15" s="295">
        <v>100</v>
      </c>
      <c r="DI15" s="295">
        <v>100</v>
      </c>
      <c r="DJ15" s="295">
        <v>100</v>
      </c>
      <c r="DK15" s="295">
        <v>100</v>
      </c>
      <c r="DL15" s="295">
        <v>100</v>
      </c>
      <c r="DM15" s="295">
        <v>100</v>
      </c>
      <c r="DN15" s="295">
        <v>100</v>
      </c>
      <c r="DO15" s="295">
        <v>100</v>
      </c>
      <c r="DP15" s="295">
        <v>100</v>
      </c>
      <c r="DQ15" s="295">
        <v>100</v>
      </c>
      <c r="DR15" s="295">
        <v>100</v>
      </c>
      <c r="DS15" s="295">
        <v>100</v>
      </c>
      <c r="DT15" s="295">
        <v>100</v>
      </c>
      <c r="DU15" s="295">
        <v>100</v>
      </c>
      <c r="DV15" s="295">
        <v>100</v>
      </c>
      <c r="DW15" s="295">
        <v>100</v>
      </c>
      <c r="DX15" s="296">
        <v>100</v>
      </c>
      <c r="DZ15" s="92"/>
      <c r="EA15" s="721"/>
      <c r="EB15" s="721"/>
      <c r="EC15" s="723"/>
      <c r="ED15" s="723"/>
      <c r="EE15" s="723"/>
    </row>
    <row r="16" spans="1:135" s="26" customFormat="1" ht="20.25" customHeight="1" x14ac:dyDescent="0.3">
      <c r="A16" s="30"/>
      <c r="B16" s="30"/>
      <c r="C16" s="30"/>
      <c r="D16" s="30"/>
      <c r="E16" s="30"/>
      <c r="F16" s="30"/>
      <c r="G16" s="14"/>
      <c r="H16" s="8" t="s">
        <v>237</v>
      </c>
      <c r="I16" s="16"/>
      <c r="J16" s="16"/>
      <c r="K16" s="16"/>
      <c r="L16" s="16"/>
      <c r="M16" s="16"/>
      <c r="N16" s="16"/>
      <c r="O16" s="16"/>
      <c r="P16" s="16"/>
      <c r="Q16" s="537"/>
      <c r="R16" s="536"/>
      <c r="S16" s="538" t="s">
        <v>377</v>
      </c>
      <c r="T16" s="539"/>
      <c r="U16" s="539"/>
      <c r="V16" s="164"/>
      <c r="W16" s="164"/>
      <c r="X16" s="734">
        <f>IF(AND(Y10&lt;=CC12,(X10*Z10)&gt;60,BS15&lt;&gt;1),((X10*Z10)-60)/Z10,IF(AND(Y10&lt;=CC12,(X10*Z10)&lt;=60,BS15&lt;&gt;1),0,X10))</f>
        <v>0</v>
      </c>
      <c r="Y16" s="606" t="str">
        <f>IF(Y10="","",Y10)</f>
        <v/>
      </c>
      <c r="Z16" s="607">
        <f>Z10</f>
        <v>0</v>
      </c>
      <c r="AA16" s="605">
        <f>AA10</f>
        <v>0</v>
      </c>
      <c r="AB16" s="852">
        <f>+IF(OR(CM16&lt;2,COUNTBLANK(X10:AA10)&gt;0),0,(X16*Z16*(100-CP16)/100*CS16/100*-1))</f>
        <v>0</v>
      </c>
      <c r="AC16" s="853"/>
      <c r="AD16" s="394"/>
      <c r="AE16" s="394"/>
      <c r="AF16" s="774" t="s">
        <v>479</v>
      </c>
      <c r="AG16" s="775"/>
      <c r="AH16" s="775"/>
      <c r="AI16" s="775"/>
      <c r="AJ16" s="408" t="str">
        <f>S6</f>
        <v>zur Vorfrucht</v>
      </c>
      <c r="AK16" s="408"/>
      <c r="AL16" s="408"/>
      <c r="AM16" s="408" t="str">
        <f>W6</f>
        <v>1. Gabe</v>
      </c>
      <c r="AN16" s="430"/>
      <c r="AO16" s="873">
        <f>AB6</f>
        <v>0</v>
      </c>
      <c r="AP16" s="874"/>
      <c r="AQ16" s="434"/>
      <c r="AR16" s="457">
        <f t="shared" ref="AR16:AT18" si="5">CC6</f>
        <v>0</v>
      </c>
      <c r="AS16" s="458">
        <f t="shared" si="5"/>
        <v>0</v>
      </c>
      <c r="AT16" s="459">
        <f t="shared" si="5"/>
        <v>0</v>
      </c>
      <c r="AU16" s="391"/>
      <c r="AW16" s="95" t="s">
        <v>376</v>
      </c>
      <c r="AY16" s="95" t="s">
        <v>406</v>
      </c>
      <c r="AZ16" s="425"/>
      <c r="BA16" s="425"/>
      <c r="BB16" s="390"/>
      <c r="BC16" s="390"/>
      <c r="BD16" s="390"/>
      <c r="BE16" s="390"/>
      <c r="BF16" s="390"/>
      <c r="BG16" s="394"/>
      <c r="BH16" s="394"/>
      <c r="BI16" s="394"/>
      <c r="BJ16" s="394"/>
      <c r="BK16" s="394"/>
      <c r="BL16" s="98"/>
      <c r="BM16" s="99"/>
      <c r="BN16" s="99"/>
      <c r="BO16" s="99"/>
      <c r="BP16" s="99"/>
      <c r="BQ16" s="118"/>
      <c r="BR16" s="118"/>
      <c r="BS16" s="118"/>
      <c r="BT16" s="118"/>
      <c r="BU16" s="118"/>
      <c r="BV16" s="99"/>
      <c r="BW16" s="99"/>
      <c r="BX16" s="99"/>
      <c r="BY16" s="99"/>
      <c r="BZ16" s="99"/>
      <c r="CA16" s="708"/>
      <c r="CB16" s="586" t="s">
        <v>218</v>
      </c>
      <c r="CC16" s="157" t="e">
        <f>$AB16*(BM35*$CS35+BT35*$CT35+CA35*$CU35)/100</f>
        <v>#VALUE!</v>
      </c>
      <c r="CD16" s="157" t="e">
        <f t="shared" si="4"/>
        <v>#VALUE!</v>
      </c>
      <c r="CE16" s="158" t="e">
        <f t="shared" si="4"/>
        <v>#VALUE!</v>
      </c>
      <c r="CF16" s="696"/>
      <c r="CG16" s="697"/>
      <c r="CH16" s="697"/>
      <c r="CI16" s="697"/>
      <c r="CJ16" s="699"/>
      <c r="CK16" s="697"/>
      <c r="CM16" s="582">
        <f>+CM10</f>
        <v>1</v>
      </c>
      <c r="CN16" s="578">
        <f>INDEX('org Dung'!B5:B22,$CM16)</f>
        <v>0</v>
      </c>
      <c r="CO16" s="580">
        <f>INDEX('org Dung'!E5:E22,$CM16)</f>
        <v>0</v>
      </c>
      <c r="CP16" s="167">
        <f>INDEX('org Dung'!D5:D22,$CM16)</f>
        <v>0</v>
      </c>
      <c r="CQ16" s="701"/>
      <c r="CR16" s="701"/>
      <c r="CS16" s="598" t="e">
        <f>IF(CU16&gt;CT16,CU16,CT16)</f>
        <v>#DIV/0!</v>
      </c>
      <c r="CT16" s="578">
        <f>INDEX('org Dung'!C5:C22,$CM16)</f>
        <v>0</v>
      </c>
      <c r="CU16" s="580" t="e">
        <f>+AA16/Z16*100</f>
        <v>#DIV/0!</v>
      </c>
      <c r="CV16" s="113" t="s">
        <v>47</v>
      </c>
      <c r="CZ16" s="72"/>
      <c r="DA16" s="279" t="s">
        <v>205</v>
      </c>
      <c r="DB16" s="95"/>
      <c r="DC16" s="95"/>
      <c r="DD16" s="95"/>
      <c r="DE16" s="95"/>
      <c r="DF16" s="718" t="str">
        <f>IF(DF10&gt;0,CONCATENATE(TEXT(DF9,"TT.M."),$DV$1,INDEX(Hauptfrüchte!P$6:P$46,$BP7)),"")</f>
        <v/>
      </c>
      <c r="DG16" s="95"/>
      <c r="DH16" s="95"/>
      <c r="DI16" s="95"/>
      <c r="DJ16" s="95"/>
      <c r="DK16" s="718" t="str">
        <f>IF(DK10&gt;0,CONCATENATE(TEXT(DK9,"TT.M."),$DV$1,INDEX(Hauptfrüchte!R$6:R$46,$BP7)),"")</f>
        <v/>
      </c>
      <c r="DL16" s="95"/>
      <c r="DM16" s="95"/>
      <c r="DN16" s="95"/>
      <c r="DO16" s="95"/>
      <c r="DP16" s="718" t="str">
        <f>IF(INDEX(Hauptfrüchte!$BJ$6:$BJ$46,Programm!$BP$7)=1,"
*",IF(DP10&gt;0,CONCATENATE(TEXT(DP9,"TT.M."),$DV$1,INDEX(Hauptfrüchte!T$6:T$46,$BP7)),""))</f>
        <v/>
      </c>
      <c r="DQ16" s="95"/>
      <c r="DR16" s="95"/>
      <c r="DS16" s="95"/>
      <c r="DT16" s="95"/>
      <c r="DU16" s="95" t="str">
        <f>IF(DU10&gt;0,CONCATENATE(TEXT(DU9,"TT.M."),$DV$1,INDEX(Hauptfrüchte!V$6:V$46,$BP7)),"")</f>
        <v/>
      </c>
      <c r="DV16" s="95"/>
      <c r="DW16" s="95"/>
      <c r="DX16" s="142"/>
      <c r="DZ16" s="92"/>
      <c r="EA16" s="721"/>
      <c r="EB16" s="721"/>
      <c r="EC16" s="723"/>
      <c r="ED16" s="723"/>
      <c r="EE16" s="723"/>
    </row>
    <row r="17" spans="1:797" s="26" customFormat="1" ht="20.25" customHeight="1" x14ac:dyDescent="0.3">
      <c r="A17" s="30" t="s">
        <v>220</v>
      </c>
      <c r="B17" s="776"/>
      <c r="C17" s="30" t="s">
        <v>9</v>
      </c>
      <c r="D17" s="30"/>
      <c r="E17" s="30"/>
      <c r="F17" s="30"/>
      <c r="G17" s="14"/>
      <c r="H17" s="62" t="s">
        <v>399</v>
      </c>
      <c r="I17" s="16"/>
      <c r="J17" s="16"/>
      <c r="K17" s="16"/>
      <c r="L17" s="16"/>
      <c r="M17" s="781"/>
      <c r="N17" s="16" t="s">
        <v>9</v>
      </c>
      <c r="O17" s="16"/>
      <c r="P17" s="16"/>
      <c r="Q17" s="532">
        <f>M17*-1</f>
        <v>0</v>
      </c>
      <c r="R17" s="536"/>
      <c r="S17" s="608" t="s">
        <v>488</v>
      </c>
      <c r="T17" s="609"/>
      <c r="U17" s="609"/>
      <c r="V17" s="610"/>
      <c r="W17" s="610"/>
      <c r="X17" s="733">
        <f>IF(OR(CP11=6,AND(CP11=2,CO11=1),CG11&lt;&gt;1,Y11&gt;CC12),X11,IF(X11*Z11&lt;60,0,(X11*Z11-60)/Z11))</f>
        <v>0</v>
      </c>
      <c r="Y17" s="611" t="str">
        <f>IF(Y11="","",Y11)</f>
        <v/>
      </c>
      <c r="Z17" s="612">
        <f>Z11</f>
        <v>0</v>
      </c>
      <c r="AA17" s="613">
        <f>AA11</f>
        <v>0</v>
      </c>
      <c r="AB17" s="858">
        <f>+IF(OR(CM17&lt;2,COUNTBLANK(X11:AA11)&gt;0),0,(X17*Z17*(100-CP17)/100*CS17/100*-1))</f>
        <v>0</v>
      </c>
      <c r="AC17" s="859"/>
      <c r="AD17" s="544"/>
      <c r="AE17" s="394"/>
      <c r="AF17" s="460"/>
      <c r="AG17" s="461"/>
      <c r="AH17" s="461"/>
      <c r="AI17" s="461"/>
      <c r="AJ17" s="414"/>
      <c r="AK17" s="414"/>
      <c r="AL17" s="414"/>
      <c r="AM17" s="414" t="str">
        <f>W7</f>
        <v>2. Gabe</v>
      </c>
      <c r="AN17" s="414"/>
      <c r="AO17" s="828">
        <f>AB7</f>
        <v>0</v>
      </c>
      <c r="AP17" s="829"/>
      <c r="AQ17" s="436"/>
      <c r="AR17" s="437">
        <f t="shared" si="5"/>
        <v>0</v>
      </c>
      <c r="AS17" s="438">
        <f t="shared" si="5"/>
        <v>0</v>
      </c>
      <c r="AT17" s="439">
        <f t="shared" si="5"/>
        <v>0</v>
      </c>
      <c r="AU17" s="391"/>
      <c r="AW17" s="95" t="s">
        <v>407</v>
      </c>
      <c r="AY17" s="95" t="s">
        <v>408</v>
      </c>
      <c r="AZ17" s="425"/>
      <c r="BA17" s="425"/>
      <c r="BB17" s="390"/>
      <c r="BC17" s="390"/>
      <c r="BD17" s="390"/>
      <c r="BE17" s="390"/>
      <c r="BF17" s="390"/>
      <c r="BG17" s="394"/>
      <c r="BH17" s="394"/>
      <c r="BI17" s="394"/>
      <c r="BJ17" s="394"/>
      <c r="BK17" s="394"/>
      <c r="BL17" s="93" t="s">
        <v>211</v>
      </c>
      <c r="BM17" s="704" t="e">
        <f>Q17*BM32/100</f>
        <v>#VALUE!</v>
      </c>
      <c r="BN17" s="704" t="e">
        <f>+Q17-BM17</f>
        <v>#VALUE!</v>
      </c>
      <c r="BO17" s="100"/>
      <c r="BP17" s="128"/>
      <c r="BQ17" s="85"/>
      <c r="BR17" s="85"/>
      <c r="BS17" s="96"/>
      <c r="BT17" s="99"/>
      <c r="BU17" s="99"/>
      <c r="BV17" s="99"/>
      <c r="BW17" s="99"/>
      <c r="BX17" s="99"/>
      <c r="BY17" s="99"/>
      <c r="BZ17" s="99"/>
      <c r="CA17" s="708"/>
      <c r="CB17" s="588" t="s">
        <v>219</v>
      </c>
      <c r="CC17" s="159" t="e">
        <f>$AB17*(BM36*$CS36+BT36*$CT36+CA36*$CU36)/100</f>
        <v>#VALUE!</v>
      </c>
      <c r="CD17" s="159" t="e">
        <f t="shared" si="4"/>
        <v>#VALUE!</v>
      </c>
      <c r="CE17" s="160" t="e">
        <f t="shared" si="4"/>
        <v>#VALUE!</v>
      </c>
      <c r="CF17" s="696"/>
      <c r="CG17" s="697"/>
      <c r="CH17" s="697"/>
      <c r="CI17" s="697"/>
      <c r="CJ17" s="699"/>
      <c r="CK17" s="697"/>
      <c r="CM17" s="582">
        <f>+CM11</f>
        <v>1</v>
      </c>
      <c r="CN17" s="578">
        <f>INDEX('org Dung'!B5:B22,$CM17)</f>
        <v>0</v>
      </c>
      <c r="CO17" s="580">
        <f>INDEX('org Dung'!E5:E22,$CM17)</f>
        <v>0</v>
      </c>
      <c r="CP17" s="167">
        <f>INDEX('org Dung'!D6:D23,$CM17)</f>
        <v>0</v>
      </c>
      <c r="CQ17" s="701"/>
      <c r="CR17" s="701"/>
      <c r="CS17" s="598" t="e">
        <f>IF(CU17&gt;CT17,CU17,CT17)</f>
        <v>#DIV/0!</v>
      </c>
      <c r="CT17" s="578">
        <f>INDEX('org Dung'!C5:C22,$CM17)</f>
        <v>0</v>
      </c>
      <c r="CU17" s="580" t="e">
        <f>+AA17/Z17*100</f>
        <v>#DIV/0!</v>
      </c>
      <c r="CV17" s="113" t="s">
        <v>47</v>
      </c>
      <c r="CZ17" s="72"/>
      <c r="DA17" s="279" t="s">
        <v>203</v>
      </c>
      <c r="DB17" s="95"/>
      <c r="DC17" s="295">
        <f>IF(DD2="",0,1)</f>
        <v>1</v>
      </c>
      <c r="DD17" s="295">
        <f t="shared" ref="DD17:DJ17" si="6">IF(DE2="",0,1)</f>
        <v>1</v>
      </c>
      <c r="DE17" s="295">
        <f t="shared" si="6"/>
        <v>1</v>
      </c>
      <c r="DF17" s="295">
        <f t="shared" si="6"/>
        <v>1</v>
      </c>
      <c r="DG17" s="295">
        <f t="shared" si="6"/>
        <v>1</v>
      </c>
      <c r="DH17" s="295">
        <f t="shared" si="6"/>
        <v>1</v>
      </c>
      <c r="DI17" s="295">
        <f t="shared" si="6"/>
        <v>1</v>
      </c>
      <c r="DJ17" s="295">
        <f t="shared" si="6"/>
        <v>1</v>
      </c>
      <c r="DK17" s="295">
        <f t="shared" ref="DK17:DX17" si="7">$DC$17</f>
        <v>1</v>
      </c>
      <c r="DL17" s="295">
        <f t="shared" si="7"/>
        <v>1</v>
      </c>
      <c r="DM17" s="295">
        <f t="shared" si="7"/>
        <v>1</v>
      </c>
      <c r="DN17" s="295">
        <f t="shared" si="7"/>
        <v>1</v>
      </c>
      <c r="DO17" s="295">
        <f t="shared" si="7"/>
        <v>1</v>
      </c>
      <c r="DP17" s="295">
        <f t="shared" si="7"/>
        <v>1</v>
      </c>
      <c r="DQ17" s="295">
        <f t="shared" si="7"/>
        <v>1</v>
      </c>
      <c r="DR17" s="295">
        <f t="shared" si="7"/>
        <v>1</v>
      </c>
      <c r="DS17" s="295">
        <f t="shared" si="7"/>
        <v>1</v>
      </c>
      <c r="DT17" s="295">
        <f t="shared" si="7"/>
        <v>1</v>
      </c>
      <c r="DU17" s="295">
        <f t="shared" si="7"/>
        <v>1</v>
      </c>
      <c r="DV17" s="295">
        <f t="shared" si="7"/>
        <v>1</v>
      </c>
      <c r="DW17" s="295">
        <f t="shared" si="7"/>
        <v>1</v>
      </c>
      <c r="DX17" s="296">
        <f t="shared" si="7"/>
        <v>1</v>
      </c>
      <c r="DZ17" s="92"/>
      <c r="EA17" s="724"/>
      <c r="EB17" s="73"/>
      <c r="EC17" s="723"/>
      <c r="ED17" s="723"/>
      <c r="EE17" s="723"/>
    </row>
    <row r="18" spans="1:797" s="26" customFormat="1" ht="20.25" customHeight="1" thickBot="1" x14ac:dyDescent="0.35">
      <c r="A18" s="220"/>
      <c r="C18" s="220"/>
      <c r="D18" s="220"/>
      <c r="E18" s="220"/>
      <c r="F18" s="220"/>
      <c r="G18" s="220"/>
      <c r="H18" s="220"/>
      <c r="I18" s="220"/>
      <c r="J18" s="220"/>
      <c r="K18" s="220"/>
      <c r="L18" s="220"/>
      <c r="M18" s="220"/>
      <c r="N18" s="220"/>
      <c r="O18" s="220"/>
      <c r="P18" s="220"/>
      <c r="Q18" s="220"/>
      <c r="R18" s="220"/>
      <c r="S18" s="220"/>
      <c r="T18" s="220"/>
      <c r="V18" s="220"/>
      <c r="X18" s="220"/>
      <c r="Y18" s="220"/>
      <c r="Z18" s="220"/>
      <c r="AA18" s="220"/>
      <c r="AB18" s="220"/>
      <c r="AC18" s="599" t="str">
        <f>IF(AND(BP7&gt;1,SUM(BK10:BK16)&gt;0,(SUM(AB14:AC17)*-1)&gt;(AB12+D14)),"* unvollständige Angabe der organ. Düngung + organ. Düngung übersteigt Düngebedarf !",IF(AND(BP7&gt;1,SUM(AB14:AC17)*-1&gt;(AB12+D14)),"! Organ. Düngung übersteigt Düngebedarf !",IF(AND(BP7&gt;1,SUM(BK10:BK16)&gt;0),"* unvollständige Angabe der organ. Düngung","")))</f>
        <v/>
      </c>
      <c r="AD18" s="462"/>
      <c r="AE18" s="395"/>
      <c r="AF18" s="413" t="str">
        <f>S8</f>
        <v>zur Zweitfrucht</v>
      </c>
      <c r="AG18" s="414"/>
      <c r="AH18" s="414"/>
      <c r="AI18" s="440"/>
      <c r="AJ18" s="440"/>
      <c r="AK18" s="441"/>
      <c r="AL18" s="414"/>
      <c r="AM18" s="414"/>
      <c r="AN18" s="435"/>
      <c r="AO18" s="828">
        <f>AB8</f>
        <v>0</v>
      </c>
      <c r="AP18" s="829"/>
      <c r="AQ18" s="436"/>
      <c r="AR18" s="437">
        <f t="shared" si="5"/>
        <v>0</v>
      </c>
      <c r="AS18" s="438">
        <f t="shared" si="5"/>
        <v>0</v>
      </c>
      <c r="AT18" s="439">
        <f t="shared" si="5"/>
        <v>0</v>
      </c>
      <c r="AU18" s="391"/>
      <c r="AW18" s="425" t="s">
        <v>345</v>
      </c>
      <c r="AY18" s="425" t="s">
        <v>255</v>
      </c>
      <c r="AZ18" s="425"/>
      <c r="BA18" s="425"/>
      <c r="BB18" s="390"/>
      <c r="BC18" s="390"/>
      <c r="BD18" s="390"/>
      <c r="BE18" s="390"/>
      <c r="BF18" s="390"/>
      <c r="BG18" s="395"/>
      <c r="BH18" s="395"/>
      <c r="BI18" s="395"/>
      <c r="BJ18" s="395"/>
      <c r="BK18" s="395"/>
      <c r="BL18" s="713" t="s">
        <v>291</v>
      </c>
      <c r="BM18" s="762" cm="1">
        <f t="array" ref="BM18">INDEX(Hauptfrüchte!AI$6:AI$46,$BP7)</f>
        <v>0</v>
      </c>
      <c r="BN18" s="714"/>
      <c r="BO18" s="714"/>
      <c r="BP18" s="714"/>
      <c r="BQ18" s="714"/>
      <c r="BR18" s="714"/>
      <c r="BS18" s="714"/>
      <c r="BT18" s="714"/>
      <c r="BU18" s="714"/>
      <c r="BV18" s="714"/>
      <c r="BW18" s="714"/>
      <c r="BX18" s="714"/>
      <c r="BY18" s="714"/>
      <c r="BZ18" s="714"/>
      <c r="CA18" s="715"/>
      <c r="CB18" s="114"/>
      <c r="CC18" s="115"/>
      <c r="CD18" s="115"/>
      <c r="CE18" s="115"/>
      <c r="CF18" s="698"/>
      <c r="CG18" s="698"/>
      <c r="CH18" s="698"/>
      <c r="CI18" s="115"/>
      <c r="CJ18" s="564"/>
      <c r="CK18" s="115"/>
      <c r="CL18" s="116"/>
      <c r="CM18" s="116"/>
      <c r="CN18" s="116"/>
      <c r="CO18" s="131"/>
      <c r="CP18" s="131"/>
      <c r="CQ18" s="131"/>
      <c r="CR18" s="131"/>
      <c r="CS18" s="116"/>
      <c r="CT18" s="116"/>
      <c r="CU18" s="116"/>
      <c r="CV18" s="117"/>
      <c r="CZ18" s="73"/>
      <c r="DA18" s="304"/>
      <c r="DB18" s="308"/>
      <c r="DC18" s="306"/>
      <c r="DD18" s="306"/>
      <c r="DE18" s="306"/>
      <c r="DF18" s="306"/>
      <c r="DG18" s="306"/>
      <c r="DH18" s="306"/>
      <c r="DI18" s="306"/>
      <c r="DJ18" s="306"/>
      <c r="DK18" s="306"/>
      <c r="DL18" s="306"/>
      <c r="DM18" s="306"/>
      <c r="DN18" s="306"/>
      <c r="DO18" s="306"/>
      <c r="DP18" s="306"/>
      <c r="DQ18" s="306"/>
      <c r="DR18" s="306"/>
      <c r="DS18" s="306"/>
      <c r="DT18" s="306"/>
      <c r="DU18" s="306"/>
      <c r="DV18" s="306"/>
      <c r="DW18" s="306"/>
      <c r="DX18" s="307"/>
      <c r="DZ18" s="220"/>
      <c r="EA18" s="725"/>
      <c r="EB18" s="73"/>
      <c r="EC18" s="723"/>
      <c r="ED18" s="723"/>
      <c r="EE18" s="723"/>
    </row>
    <row r="19" spans="1:797" s="26" customFormat="1" ht="20.25" customHeight="1" thickTop="1" x14ac:dyDescent="0.3">
      <c r="A19" s="220"/>
      <c r="B19" s="222" t="str">
        <f>IF(BQ7=0,"Düngebedarf und mineralische Düngeempfehlung - mittlere Wetter- u. Gebietslage in Bayern",CONCATENATE("Düngebedarf und mineralische Düngeempfehlung: ",BQ7," - mittlere Wetter- u. Gebietslage in Bayern"))</f>
        <v>Düngebedarf und mineralische Düngeempfehlung - mittlere Wetter- u. Gebietslage in Bayern</v>
      </c>
      <c r="C19" s="73"/>
      <c r="D19" s="73"/>
      <c r="E19" s="73"/>
      <c r="F19" s="73"/>
      <c r="G19" s="73"/>
      <c r="H19" s="73"/>
      <c r="I19" s="73"/>
      <c r="J19" s="73"/>
      <c r="K19" s="73"/>
      <c r="L19" s="73"/>
      <c r="M19" s="73"/>
      <c r="N19" s="73"/>
      <c r="O19" s="73"/>
      <c r="P19" s="73"/>
      <c r="Q19" s="73"/>
      <c r="R19" s="73"/>
      <c r="S19" s="73"/>
      <c r="T19" s="73"/>
      <c r="U19" s="73"/>
      <c r="V19" s="220"/>
      <c r="W19" s="73"/>
      <c r="X19" s="73"/>
      <c r="Y19" s="220"/>
      <c r="Z19" s="220"/>
      <c r="AA19" s="221"/>
      <c r="AB19" s="221"/>
      <c r="AC19" s="220"/>
      <c r="AD19" s="462"/>
      <c r="AE19" s="395"/>
      <c r="AF19" s="463" t="str">
        <f>IF(CN16=0,S10,CONCATENATE(S10,": ",CN16))</f>
        <v>zur Zwischenfrucht</v>
      </c>
      <c r="AG19" s="464"/>
      <c r="AH19" s="464"/>
      <c r="AI19" s="465"/>
      <c r="AJ19" s="465"/>
      <c r="AK19" s="466"/>
      <c r="AL19" s="464"/>
      <c r="AM19" s="464"/>
      <c r="AN19" s="435"/>
      <c r="AO19" s="828">
        <f>AB10</f>
        <v>0</v>
      </c>
      <c r="AP19" s="829"/>
      <c r="AQ19" s="436"/>
      <c r="AR19" s="437">
        <f>CC10</f>
        <v>0</v>
      </c>
      <c r="AS19" s="437">
        <f>CD10</f>
        <v>0</v>
      </c>
      <c r="AT19" s="467">
        <f>CE10</f>
        <v>0</v>
      </c>
      <c r="AU19" s="391"/>
      <c r="AZ19" s="425"/>
      <c r="BA19" s="425"/>
      <c r="BB19" s="390"/>
      <c r="BC19" s="390"/>
      <c r="BD19" s="390"/>
      <c r="BE19" s="390"/>
      <c r="BF19" s="390"/>
      <c r="BG19" s="393"/>
      <c r="BH19" s="393"/>
      <c r="BI19" s="395"/>
      <c r="BJ19" s="395"/>
      <c r="BK19" s="395"/>
      <c r="BL19" s="584"/>
      <c r="BY19" s="73"/>
      <c r="BZ19" s="73"/>
      <c r="CA19" s="73"/>
      <c r="CB19" s="73"/>
      <c r="CC19" s="73"/>
      <c r="CD19" s="73"/>
      <c r="CE19" s="73"/>
      <c r="CF19" s="73"/>
      <c r="CG19" s="73"/>
      <c r="CH19" s="73"/>
      <c r="CI19" s="73"/>
      <c r="CJ19" s="73"/>
      <c r="CK19" s="73"/>
      <c r="CL19" s="73"/>
      <c r="CM19" s="73"/>
      <c r="CN19" s="73"/>
      <c r="CO19" s="73"/>
      <c r="CP19" s="73"/>
      <c r="CQ19" s="73"/>
      <c r="CR19" s="132"/>
      <c r="CS19" s="132"/>
      <c r="CT19" s="132"/>
      <c r="CU19" s="132"/>
      <c r="CV19" s="73"/>
      <c r="CW19" s="73"/>
      <c r="CX19" s="73"/>
      <c r="CY19" s="73"/>
      <c r="CZ19" s="73"/>
      <c r="DA19" s="304"/>
      <c r="DB19" s="308"/>
      <c r="DC19" s="306"/>
      <c r="DD19" s="306"/>
      <c r="DE19" s="306"/>
      <c r="DF19" s="306"/>
      <c r="DG19" s="306"/>
      <c r="DH19" s="306"/>
      <c r="DI19" s="306"/>
      <c r="DJ19" s="306"/>
      <c r="DK19" s="306"/>
      <c r="DL19" s="306"/>
      <c r="DM19" s="306"/>
      <c r="DN19" s="306"/>
      <c r="DO19" s="306"/>
      <c r="DP19" s="306"/>
      <c r="DQ19" s="306"/>
      <c r="DR19" s="306"/>
      <c r="DS19" s="306"/>
      <c r="DT19" s="306"/>
      <c r="DU19" s="306"/>
      <c r="DV19" s="306"/>
      <c r="DW19" s="306"/>
      <c r="DX19" s="307"/>
      <c r="DZ19" s="220"/>
      <c r="EA19" s="73"/>
      <c r="EB19" s="73"/>
      <c r="EC19" s="723"/>
      <c r="ED19" s="723"/>
      <c r="EE19" s="723"/>
    </row>
    <row r="20" spans="1:797" s="26" customFormat="1" ht="20.25" customHeight="1" thickBot="1" x14ac:dyDescent="0.35">
      <c r="A20" s="220"/>
      <c r="B20" s="280"/>
      <c r="C20" s="280"/>
      <c r="D20" s="281"/>
      <c r="E20" s="280"/>
      <c r="F20" s="282"/>
      <c r="G20" s="280"/>
      <c r="H20" s="282"/>
      <c r="I20" s="280"/>
      <c r="J20" s="282"/>
      <c r="K20" s="280"/>
      <c r="L20" s="280"/>
      <c r="M20" s="282"/>
      <c r="N20" s="282"/>
      <c r="O20" s="281"/>
      <c r="P20" s="281"/>
      <c r="Q20" s="281"/>
      <c r="R20" s="280"/>
      <c r="S20" s="280"/>
      <c r="T20" s="282"/>
      <c r="U20" s="280"/>
      <c r="V20" s="282"/>
      <c r="W20" s="282"/>
      <c r="X20" s="283"/>
      <c r="Y20" s="283"/>
      <c r="Z20" s="283"/>
      <c r="AA20" s="283"/>
      <c r="AB20" s="283"/>
      <c r="AC20" s="283"/>
      <c r="AD20" s="462"/>
      <c r="AE20" s="395"/>
      <c r="AF20" s="468" t="str">
        <f>IF(CN17=0,S11,CONCATENATE(S11,": ",CN17))</f>
        <v>zur Hauptfrucht Herbst</v>
      </c>
      <c r="AG20" s="469"/>
      <c r="AH20" s="469"/>
      <c r="AI20" s="469"/>
      <c r="AJ20" s="469"/>
      <c r="AK20" s="469"/>
      <c r="AL20" s="469"/>
      <c r="AM20" s="469"/>
      <c r="AN20" s="470"/>
      <c r="AO20" s="850">
        <f>AB11</f>
        <v>0</v>
      </c>
      <c r="AP20" s="851"/>
      <c r="AQ20" s="471"/>
      <c r="AR20" s="472">
        <f>IFERROR(CC11,0)</f>
        <v>0</v>
      </c>
      <c r="AS20" s="472">
        <f>IFERROR(CD11,0)</f>
        <v>0</v>
      </c>
      <c r="AT20" s="473">
        <f>IFERROR(CE11,0)</f>
        <v>0</v>
      </c>
      <c r="AU20" s="393"/>
      <c r="AW20" s="739" t="s">
        <v>484</v>
      </c>
      <c r="BA20" s="617"/>
      <c r="BB20" s="396"/>
      <c r="BC20" s="391"/>
      <c r="BD20" s="391"/>
      <c r="BE20" s="391"/>
      <c r="BF20" s="393"/>
      <c r="BG20" s="393"/>
      <c r="BH20" s="393"/>
      <c r="BI20" s="395"/>
      <c r="BJ20" s="395"/>
      <c r="BK20" s="395"/>
      <c r="BY20" s="73"/>
      <c r="BZ20" s="73"/>
      <c r="CA20" s="73"/>
      <c r="CB20" s="73"/>
      <c r="CC20" s="73"/>
      <c r="CR20" s="60"/>
      <c r="CS20" s="144"/>
      <c r="CT20" s="144"/>
      <c r="CU20" s="144"/>
      <c r="CZ20" s="73"/>
      <c r="DA20" s="304"/>
      <c r="DB20" s="308"/>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7"/>
      <c r="DZ20" s="220"/>
      <c r="EA20" s="73"/>
      <c r="EB20" s="73"/>
      <c r="EC20" s="723"/>
      <c r="ED20" s="723"/>
      <c r="EE20" s="723"/>
    </row>
    <row r="21" spans="1:797" s="26" customFormat="1" ht="20.25" customHeight="1" thickTop="1" x14ac:dyDescent="0.25">
      <c r="A21" s="220"/>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462"/>
      <c r="AE21" s="395"/>
      <c r="AF21" s="456" t="s">
        <v>274</v>
      </c>
      <c r="AG21" s="461"/>
      <c r="AH21" s="461"/>
      <c r="AI21" s="461"/>
      <c r="AJ21" s="461"/>
      <c r="AK21" s="461"/>
      <c r="AL21" s="461"/>
      <c r="AM21" s="461"/>
      <c r="AN21" s="474"/>
      <c r="AO21" s="862">
        <f>MAX(0,SUM(Q7,Q11:Q17,AB6:AB11))</f>
        <v>0</v>
      </c>
      <c r="AP21" s="863"/>
      <c r="AQ21" s="475"/>
      <c r="AR21" s="476"/>
      <c r="AS21" s="476"/>
      <c r="AT21" s="477"/>
      <c r="AU21" s="393"/>
      <c r="AW21" s="26" t="s">
        <v>262</v>
      </c>
      <c r="AY21" s="26" t="s">
        <v>483</v>
      </c>
      <c r="BA21" s="617"/>
      <c r="BB21" s="396"/>
      <c r="BC21" s="391"/>
      <c r="BD21" s="391"/>
      <c r="BE21" s="391"/>
      <c r="BF21" s="393"/>
      <c r="BG21" s="393"/>
      <c r="BH21" s="393"/>
      <c r="BI21" s="395"/>
      <c r="BJ21" s="395"/>
      <c r="BK21" s="395"/>
      <c r="BY21" s="73"/>
      <c r="BZ21" s="73"/>
      <c r="CA21" s="73"/>
      <c r="CB21" s="73"/>
      <c r="CC21" s="73"/>
      <c r="CR21" s="60"/>
      <c r="CS21" s="144"/>
      <c r="CT21" s="144"/>
      <c r="CU21" s="144"/>
      <c r="CZ21" s="73"/>
      <c r="DA21" s="279" t="s">
        <v>235</v>
      </c>
      <c r="DB21" s="95"/>
      <c r="DC21" s="295">
        <v>100</v>
      </c>
      <c r="DD21" s="295">
        <v>100</v>
      </c>
      <c r="DE21" s="295">
        <v>100</v>
      </c>
      <c r="DF21" s="295">
        <v>100</v>
      </c>
      <c r="DG21" s="295">
        <v>100</v>
      </c>
      <c r="DH21" s="295">
        <v>100</v>
      </c>
      <c r="DI21" s="295">
        <v>100</v>
      </c>
      <c r="DJ21" s="295">
        <v>100</v>
      </c>
      <c r="DK21" s="295">
        <v>100</v>
      </c>
      <c r="DL21" s="295">
        <v>100</v>
      </c>
      <c r="DM21" s="295">
        <v>100</v>
      </c>
      <c r="DN21" s="295">
        <v>100</v>
      </c>
      <c r="DO21" s="295">
        <v>100</v>
      </c>
      <c r="DP21" s="295">
        <v>100</v>
      </c>
      <c r="DQ21" s="295">
        <v>100</v>
      </c>
      <c r="DR21" s="295">
        <v>100</v>
      </c>
      <c r="DS21" s="295">
        <v>100</v>
      </c>
      <c r="DT21" s="295">
        <v>100</v>
      </c>
      <c r="DU21" s="295">
        <v>100</v>
      </c>
      <c r="DV21" s="295">
        <v>100</v>
      </c>
      <c r="DW21" s="295">
        <v>100</v>
      </c>
      <c r="DX21" s="296">
        <v>100</v>
      </c>
      <c r="DZ21" s="220"/>
      <c r="EA21" s="73"/>
      <c r="EB21" s="73"/>
      <c r="EC21" s="723"/>
      <c r="ED21" s="723"/>
      <c r="EE21" s="723"/>
    </row>
    <row r="22" spans="1:797" s="26" customFormat="1" ht="20.25" customHeight="1" thickBot="1" x14ac:dyDescent="0.35">
      <c r="A22" s="220"/>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462"/>
      <c r="AE22" s="395"/>
      <c r="AF22" s="478"/>
      <c r="AG22" s="479"/>
      <c r="AH22" s="479"/>
      <c r="AI22" s="479"/>
      <c r="AJ22" s="479"/>
      <c r="AK22" s="480"/>
      <c r="AL22" s="480"/>
      <c r="AM22" s="480"/>
      <c r="AN22" s="481" t="s">
        <v>229</v>
      </c>
      <c r="AO22" s="850">
        <f>Programm!D14</f>
        <v>0</v>
      </c>
      <c r="AP22" s="851"/>
      <c r="AQ22" s="471"/>
      <c r="AR22" s="472">
        <f>IFERROR(+'DSN 2020'!T8*-1,0)</f>
        <v>0</v>
      </c>
      <c r="AS22" s="472">
        <f>+'DSN 2020'!U8*-1</f>
        <v>0</v>
      </c>
      <c r="AT22" s="473">
        <f>+'DSN 2020'!V8*-1</f>
        <v>0</v>
      </c>
      <c r="AU22" s="393"/>
      <c r="AW22" s="67" t="s">
        <v>264</v>
      </c>
      <c r="AX22" s="67"/>
      <c r="AY22" s="67" t="s">
        <v>177</v>
      </c>
      <c r="AZ22" s="462"/>
      <c r="BA22" s="462"/>
      <c r="BB22" s="395"/>
      <c r="BC22" s="395"/>
      <c r="BD22" s="395"/>
      <c r="BE22" s="395"/>
      <c r="BF22" s="395"/>
      <c r="BG22" s="395"/>
      <c r="BH22" s="395"/>
      <c r="BI22" s="395"/>
      <c r="BJ22" s="395"/>
      <c r="BK22" s="395"/>
      <c r="BY22" s="73"/>
      <c r="BZ22" s="73"/>
      <c r="CA22" s="73"/>
      <c r="CB22" s="73"/>
      <c r="CC22" s="73"/>
      <c r="CR22" s="60"/>
      <c r="CS22" s="144"/>
      <c r="CT22" s="144"/>
      <c r="CU22" s="144"/>
      <c r="CZ22" s="73"/>
      <c r="DA22" s="279" t="s">
        <v>236</v>
      </c>
      <c r="DB22" s="95"/>
      <c r="DC22" s="295"/>
      <c r="DD22" s="295"/>
      <c r="DE22" s="295"/>
      <c r="DF22" s="295"/>
      <c r="DG22" s="295"/>
      <c r="DH22" s="295"/>
      <c r="DI22" s="295"/>
      <c r="DJ22" s="295"/>
      <c r="DK22" s="295" t="str">
        <f>IFERROR(IF(+'DSN 2020'!D58&gt;0,+'DSN 2020'!D58,""),"")</f>
        <v/>
      </c>
      <c r="DL22" s="295"/>
      <c r="DM22" s="295"/>
      <c r="DN22" s="295"/>
      <c r="DO22" s="295"/>
      <c r="DP22" s="295" t="str">
        <f>IFERROR(IF(+'DSN 2020'!E58&gt;0,+'DSN 2020'!E58,""),"")</f>
        <v/>
      </c>
      <c r="DQ22" s="295"/>
      <c r="DR22" s="295"/>
      <c r="DS22" s="295"/>
      <c r="DT22" s="295"/>
      <c r="DU22" s="295" t="str">
        <f>IFERROR(IF(+'DSN 2020'!F58&gt;0,+'DSN 2020'!F58,""),"")</f>
        <v/>
      </c>
      <c r="DV22" s="295"/>
      <c r="DW22" s="295"/>
      <c r="DX22" s="296"/>
      <c r="DY22" s="32"/>
      <c r="DZ22" s="728"/>
      <c r="EA22" s="725"/>
      <c r="EB22" s="726"/>
      <c r="EC22" s="725"/>
      <c r="ED22" s="725"/>
      <c r="EE22" s="725"/>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c r="PC22" s="32"/>
      <c r="PD22" s="32"/>
      <c r="PE22" s="32"/>
      <c r="PF22" s="32"/>
      <c r="PG22" s="32"/>
      <c r="PH22" s="32"/>
      <c r="PI22" s="32"/>
      <c r="PJ22" s="32"/>
      <c r="PK22" s="32"/>
      <c r="PL22" s="32"/>
      <c r="PM22" s="32"/>
      <c r="PN22" s="32"/>
      <c r="PO22" s="32"/>
      <c r="PP22" s="32"/>
      <c r="PQ22" s="32"/>
      <c r="PR22" s="32"/>
      <c r="PS22" s="32"/>
      <c r="PT22" s="32"/>
      <c r="PU22" s="32"/>
      <c r="PV22" s="32"/>
      <c r="PW22" s="32"/>
      <c r="PX22" s="32"/>
      <c r="PY22" s="32"/>
      <c r="PZ22" s="32"/>
      <c r="QA22" s="32"/>
      <c r="QB22" s="32"/>
      <c r="QC22" s="32"/>
      <c r="QD22" s="32"/>
      <c r="QE22" s="32"/>
      <c r="QF22" s="32"/>
      <c r="QG22" s="32"/>
      <c r="QH22" s="32"/>
      <c r="QI22" s="32"/>
      <c r="QJ22" s="32"/>
      <c r="QK22" s="32"/>
      <c r="QL22" s="32"/>
      <c r="QM22" s="32"/>
      <c r="QN22" s="32"/>
      <c r="QO22" s="32"/>
      <c r="QP22" s="32"/>
      <c r="QQ22" s="32"/>
      <c r="QR22" s="32"/>
      <c r="QS22" s="32"/>
      <c r="QT22" s="32"/>
      <c r="QU22" s="32"/>
      <c r="QV22" s="32"/>
      <c r="QW22" s="32"/>
      <c r="QX22" s="32"/>
      <c r="QY22" s="32"/>
      <c r="QZ22" s="32"/>
      <c r="RA22" s="32"/>
      <c r="RB22" s="32"/>
      <c r="RC22" s="32"/>
      <c r="RD22" s="32"/>
      <c r="RE22" s="32"/>
      <c r="RF22" s="32"/>
      <c r="RG22" s="32"/>
      <c r="RH22" s="32"/>
      <c r="RI22" s="32"/>
      <c r="RJ22" s="32"/>
      <c r="RK22" s="32"/>
      <c r="RL22" s="32"/>
      <c r="RM22" s="32"/>
      <c r="RN22" s="32"/>
      <c r="RO22" s="32"/>
      <c r="RP22" s="32"/>
      <c r="RQ22" s="32"/>
      <c r="RR22" s="32"/>
      <c r="RS22" s="32"/>
      <c r="RT22" s="32"/>
      <c r="RU22" s="32"/>
      <c r="RV22" s="32"/>
      <c r="RW22" s="32"/>
      <c r="RX22" s="32"/>
      <c r="RY22" s="32"/>
      <c r="RZ22" s="32"/>
      <c r="SA22" s="32"/>
      <c r="SB22" s="32"/>
      <c r="SC22" s="32"/>
      <c r="SD22" s="32"/>
      <c r="SE22" s="32"/>
      <c r="SF22" s="32"/>
      <c r="SG22" s="32"/>
      <c r="SH22" s="32"/>
      <c r="SI22" s="32"/>
      <c r="SJ22" s="32"/>
      <c r="SK22" s="32"/>
      <c r="SL22" s="32"/>
      <c r="SM22" s="32"/>
      <c r="SN22" s="32"/>
      <c r="SO22" s="32"/>
      <c r="SP22" s="32"/>
      <c r="SQ22" s="32"/>
      <c r="SR22" s="32"/>
      <c r="SS22" s="32"/>
      <c r="ST22" s="32"/>
      <c r="SU22" s="32"/>
      <c r="SV22" s="32"/>
      <c r="SW22" s="32"/>
      <c r="SX22" s="32"/>
      <c r="SY22" s="32"/>
      <c r="SZ22" s="32"/>
      <c r="TA22" s="32"/>
      <c r="TB22" s="32"/>
      <c r="TC22" s="32"/>
      <c r="TD22" s="32"/>
      <c r="TE22" s="32"/>
      <c r="TF22" s="32"/>
      <c r="TG22" s="32"/>
      <c r="TH22" s="32"/>
      <c r="TI22" s="32"/>
      <c r="TJ22" s="32"/>
      <c r="TK22" s="32"/>
      <c r="TL22" s="32"/>
      <c r="TM22" s="32"/>
      <c r="TN22" s="32"/>
      <c r="TO22" s="32"/>
      <c r="TP22" s="32"/>
      <c r="TQ22" s="32"/>
      <c r="TR22" s="32"/>
      <c r="TS22" s="32"/>
      <c r="TT22" s="32"/>
      <c r="TU22" s="32"/>
      <c r="TV22" s="32"/>
      <c r="TW22" s="32"/>
      <c r="TX22" s="32"/>
      <c r="TY22" s="32"/>
      <c r="TZ22" s="32"/>
      <c r="UA22" s="32"/>
      <c r="UB22" s="32"/>
      <c r="UC22" s="32"/>
      <c r="UD22" s="32"/>
      <c r="UE22" s="32"/>
      <c r="UF22" s="32"/>
      <c r="UG22" s="32"/>
      <c r="UH22" s="32"/>
      <c r="UI22" s="32"/>
      <c r="UJ22" s="32"/>
      <c r="UK22" s="32"/>
      <c r="UL22" s="32"/>
      <c r="UM22" s="32"/>
      <c r="UN22" s="32"/>
      <c r="UO22" s="32"/>
      <c r="UP22" s="32"/>
      <c r="UQ22" s="32"/>
      <c r="UR22" s="32"/>
      <c r="US22" s="32"/>
      <c r="UT22" s="32"/>
      <c r="UU22" s="32"/>
      <c r="UV22" s="32"/>
      <c r="UW22" s="32"/>
      <c r="UX22" s="32"/>
      <c r="UY22" s="32"/>
      <c r="UZ22" s="32"/>
      <c r="VA22" s="32"/>
      <c r="VB22" s="32"/>
      <c r="VC22" s="32"/>
      <c r="VD22" s="32"/>
      <c r="VE22" s="32"/>
      <c r="VF22" s="32"/>
      <c r="VG22" s="32"/>
      <c r="VH22" s="32"/>
      <c r="VI22" s="32"/>
      <c r="VJ22" s="32"/>
      <c r="VK22" s="32"/>
      <c r="VL22" s="32"/>
      <c r="VM22" s="32"/>
      <c r="VN22" s="32"/>
      <c r="VO22" s="32"/>
      <c r="VP22" s="32"/>
      <c r="VQ22" s="32"/>
      <c r="VR22" s="32"/>
      <c r="VS22" s="32"/>
      <c r="VT22" s="32"/>
      <c r="VU22" s="32"/>
      <c r="VV22" s="32"/>
      <c r="VW22" s="32"/>
      <c r="VX22" s="32"/>
      <c r="VY22" s="32"/>
      <c r="VZ22" s="32"/>
      <c r="WA22" s="32"/>
      <c r="WB22" s="32"/>
      <c r="WC22" s="32"/>
      <c r="WD22" s="32"/>
      <c r="WE22" s="32"/>
      <c r="WF22" s="32"/>
      <c r="WG22" s="32"/>
      <c r="WH22" s="32"/>
      <c r="WI22" s="32"/>
      <c r="WJ22" s="32"/>
      <c r="WK22" s="32"/>
      <c r="WL22" s="32"/>
      <c r="WM22" s="32"/>
      <c r="WN22" s="32"/>
      <c r="WO22" s="32"/>
      <c r="WP22" s="32"/>
      <c r="WQ22" s="32"/>
      <c r="WR22" s="32"/>
      <c r="WS22" s="32"/>
      <c r="WT22" s="32"/>
      <c r="WU22" s="32"/>
      <c r="WV22" s="32"/>
      <c r="WW22" s="32"/>
      <c r="WX22" s="32"/>
      <c r="WY22" s="32"/>
      <c r="WZ22" s="32"/>
      <c r="XA22" s="32"/>
      <c r="XB22" s="32"/>
      <c r="XC22" s="32"/>
      <c r="XD22" s="32"/>
      <c r="XE22" s="32"/>
      <c r="XF22" s="32"/>
      <c r="XG22" s="32"/>
      <c r="XH22" s="32"/>
      <c r="XI22" s="32"/>
      <c r="XJ22" s="32"/>
      <c r="XK22" s="32"/>
      <c r="XL22" s="32"/>
      <c r="XM22" s="32"/>
      <c r="XN22" s="32"/>
      <c r="XO22" s="32"/>
      <c r="XP22" s="32"/>
      <c r="XQ22" s="32"/>
      <c r="XR22" s="32"/>
      <c r="XS22" s="32"/>
      <c r="XT22" s="32"/>
      <c r="XU22" s="32"/>
      <c r="XV22" s="32"/>
      <c r="XW22" s="32"/>
      <c r="XX22" s="32"/>
      <c r="XY22" s="32"/>
      <c r="XZ22" s="32"/>
      <c r="YA22" s="32"/>
      <c r="YB22" s="32"/>
      <c r="YC22" s="32"/>
      <c r="YD22" s="32"/>
      <c r="YE22" s="32"/>
      <c r="YF22" s="32"/>
      <c r="YG22" s="32"/>
      <c r="YH22" s="32"/>
      <c r="YI22" s="32"/>
      <c r="YJ22" s="32"/>
      <c r="YK22" s="32"/>
      <c r="YL22" s="32"/>
      <c r="YM22" s="32"/>
      <c r="YN22" s="32"/>
      <c r="YO22" s="32"/>
      <c r="YP22" s="32"/>
      <c r="YQ22" s="32"/>
      <c r="YR22" s="32"/>
      <c r="YS22" s="32"/>
      <c r="YT22" s="32"/>
      <c r="YU22" s="32"/>
      <c r="YV22" s="32"/>
      <c r="YW22" s="32"/>
      <c r="YX22" s="32"/>
      <c r="YY22" s="32"/>
      <c r="YZ22" s="32"/>
      <c r="ZA22" s="32"/>
      <c r="ZB22" s="32"/>
      <c r="ZC22" s="32"/>
      <c r="ZD22" s="32"/>
      <c r="ZE22" s="32"/>
      <c r="ZF22" s="32"/>
      <c r="ZG22" s="32"/>
      <c r="ZH22" s="32"/>
      <c r="ZI22" s="32"/>
      <c r="ZJ22" s="32"/>
      <c r="ZK22" s="32"/>
      <c r="ZL22" s="32"/>
      <c r="ZM22" s="32"/>
      <c r="ZN22" s="32"/>
      <c r="ZO22" s="32"/>
      <c r="ZP22" s="32"/>
      <c r="ZQ22" s="32"/>
      <c r="ZR22" s="32"/>
      <c r="ZS22" s="32"/>
      <c r="ZT22" s="32"/>
      <c r="ZU22" s="32"/>
      <c r="ZV22" s="32"/>
      <c r="ZW22" s="32"/>
      <c r="ZX22" s="32"/>
      <c r="ZY22" s="32"/>
      <c r="ZZ22" s="32"/>
      <c r="AAA22" s="32"/>
      <c r="AAB22" s="32"/>
      <c r="AAC22" s="32"/>
      <c r="AAD22" s="32"/>
      <c r="AAE22" s="32"/>
      <c r="AAF22" s="32"/>
      <c r="AAG22" s="32"/>
      <c r="AAH22" s="32"/>
      <c r="AAI22" s="32"/>
      <c r="AAJ22" s="32"/>
      <c r="AAK22" s="32"/>
      <c r="AAL22" s="32"/>
      <c r="AAM22" s="32"/>
      <c r="AAN22" s="32"/>
      <c r="AAO22" s="32"/>
      <c r="AAP22" s="32"/>
      <c r="AAQ22" s="32"/>
      <c r="AAR22" s="32"/>
      <c r="AAS22" s="32"/>
      <c r="AAT22" s="32"/>
      <c r="AAU22" s="32"/>
      <c r="AAV22" s="32"/>
      <c r="AAW22" s="32"/>
      <c r="AAX22" s="32"/>
      <c r="AAY22" s="32"/>
      <c r="AAZ22" s="32"/>
      <c r="ABA22" s="32"/>
      <c r="ABB22" s="32"/>
      <c r="ABC22" s="32"/>
      <c r="ABD22" s="32"/>
      <c r="ABE22" s="32"/>
      <c r="ABF22" s="32"/>
      <c r="ABG22" s="32"/>
      <c r="ABH22" s="32"/>
      <c r="ABI22" s="32"/>
      <c r="ABJ22" s="32"/>
      <c r="ABK22" s="32"/>
      <c r="ABL22" s="32"/>
      <c r="ABM22" s="32"/>
      <c r="ABN22" s="32"/>
      <c r="ABO22" s="32"/>
      <c r="ABP22" s="32"/>
      <c r="ABQ22" s="32"/>
      <c r="ABR22" s="32"/>
      <c r="ABS22" s="32"/>
      <c r="ABT22" s="32"/>
      <c r="ABU22" s="32"/>
      <c r="ABV22" s="32"/>
      <c r="ABW22" s="32"/>
      <c r="ABX22" s="32"/>
      <c r="ABY22" s="32"/>
      <c r="ABZ22" s="32"/>
      <c r="ACA22" s="32"/>
      <c r="ACB22" s="32"/>
      <c r="ACC22" s="32"/>
      <c r="ACD22" s="32"/>
      <c r="ACE22" s="32"/>
      <c r="ACF22" s="32"/>
      <c r="ACG22" s="32"/>
      <c r="ACH22" s="32"/>
      <c r="ACI22" s="32"/>
      <c r="ACJ22" s="32"/>
      <c r="ACK22" s="32"/>
      <c r="ACL22" s="32"/>
      <c r="ACM22" s="32"/>
      <c r="ACN22" s="32"/>
      <c r="ACO22" s="32"/>
      <c r="ACP22" s="32"/>
      <c r="ACQ22" s="32"/>
      <c r="ACR22" s="32"/>
      <c r="ACS22" s="32"/>
      <c r="ACT22" s="32"/>
      <c r="ACU22" s="32"/>
      <c r="ACV22" s="32"/>
      <c r="ACW22" s="32"/>
      <c r="ACX22" s="32"/>
      <c r="ACY22" s="32"/>
      <c r="ACZ22" s="32"/>
      <c r="ADA22" s="32"/>
      <c r="ADB22" s="32"/>
      <c r="ADC22" s="32"/>
      <c r="ADD22" s="32"/>
      <c r="ADE22" s="32"/>
      <c r="ADF22" s="32"/>
      <c r="ADG22" s="32"/>
      <c r="ADH22" s="32"/>
      <c r="ADI22" s="32"/>
      <c r="ADJ22" s="32"/>
      <c r="ADK22" s="32"/>
      <c r="ADL22" s="32"/>
      <c r="ADM22" s="32"/>
      <c r="ADN22" s="32"/>
      <c r="ADO22" s="32"/>
      <c r="ADP22" s="32"/>
      <c r="ADQ22" s="32"/>
    </row>
    <row r="23" spans="1:797" s="26" customFormat="1" ht="20.25" customHeight="1" thickTop="1" x14ac:dyDescent="0.25">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462"/>
      <c r="AE23" s="395"/>
      <c r="AF23" s="546" t="str">
        <f>S13</f>
        <v>Frühjahr 2026</v>
      </c>
      <c r="AG23" s="545"/>
      <c r="AH23" s="545"/>
      <c r="AI23" s="547"/>
      <c r="AJ23" s="545"/>
      <c r="AK23" s="461"/>
      <c r="AL23" s="461"/>
      <c r="AM23" s="461"/>
      <c r="AN23" s="614" t="str">
        <f>IF(AC18&lt;&gt;"","Fehlermeldung beachten","")</f>
        <v/>
      </c>
      <c r="AO23" s="864">
        <f>MAX(0,SUM(Q7,Q11:Q17,AB6:AB11,D14))</f>
        <v>0</v>
      </c>
      <c r="AP23" s="865"/>
      <c r="AQ23" s="475"/>
      <c r="AR23" s="476"/>
      <c r="AS23" s="476"/>
      <c r="AT23" s="477"/>
      <c r="AU23" s="391"/>
      <c r="AW23" s="67" t="s">
        <v>557</v>
      </c>
      <c r="AX23" s="67"/>
      <c r="AY23" s="67" t="s">
        <v>570</v>
      </c>
      <c r="AZ23" s="462"/>
      <c r="BA23" s="462"/>
      <c r="BB23" s="395"/>
      <c r="BC23" s="395"/>
      <c r="BD23" s="395"/>
      <c r="BE23" s="395"/>
      <c r="BF23" s="395"/>
      <c r="BG23" s="395"/>
      <c r="BH23" s="395"/>
      <c r="BI23" s="395"/>
      <c r="BJ23" s="395"/>
      <c r="BK23" s="395"/>
      <c r="BL23" s="866"/>
      <c r="BM23" s="867"/>
      <c r="BN23" s="867"/>
      <c r="BO23" s="867"/>
      <c r="BP23" s="867"/>
      <c r="BQ23" s="849"/>
      <c r="BR23" s="849"/>
      <c r="BS23" s="849"/>
      <c r="BT23" s="849"/>
      <c r="BU23" s="849"/>
      <c r="BV23" s="849"/>
      <c r="BW23" s="70"/>
      <c r="BX23" s="70"/>
      <c r="BY23" s="73"/>
      <c r="BZ23" s="73"/>
      <c r="CA23" s="73"/>
      <c r="CB23" s="73"/>
      <c r="CC23" s="73"/>
      <c r="CR23" s="60"/>
      <c r="CS23" s="144"/>
      <c r="CT23" s="144"/>
      <c r="CU23" s="144"/>
      <c r="CZ23" s="73"/>
      <c r="DA23" s="279"/>
      <c r="DB23" s="95"/>
      <c r="DC23" s="295"/>
      <c r="DD23" s="295"/>
      <c r="DE23" s="295"/>
      <c r="DF23" s="295"/>
      <c r="DG23" s="295"/>
      <c r="DH23" s="295"/>
      <c r="DI23" s="295"/>
      <c r="DN23" s="291"/>
      <c r="DO23" s="291"/>
      <c r="DP23" s="291"/>
      <c r="DQ23" s="291"/>
      <c r="DR23" s="291"/>
      <c r="DS23" s="291"/>
      <c r="DT23" s="295"/>
      <c r="DU23" s="295"/>
      <c r="DV23" s="295"/>
      <c r="DW23" s="295"/>
      <c r="DX23" s="296"/>
      <c r="DZ23" s="95"/>
    </row>
    <row r="24" spans="1:797" s="26" customFormat="1" ht="20.25" customHeight="1" x14ac:dyDescent="0.3">
      <c r="A24" s="220"/>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462"/>
      <c r="AE24" s="395"/>
      <c r="AF24" s="413"/>
      <c r="AG24" s="414"/>
      <c r="AH24" s="414"/>
      <c r="AI24" s="482" t="str">
        <f>S14</f>
        <v>geplante 1. Gabe</v>
      </c>
      <c r="AJ24" s="414" t="str">
        <f>IF(CN14=0,"keine",CN14)</f>
        <v>keine</v>
      </c>
      <c r="AK24" s="414"/>
      <c r="AL24" s="414"/>
      <c r="AM24" s="414"/>
      <c r="AN24" s="435"/>
      <c r="AO24" s="828">
        <f>AB14</f>
        <v>0</v>
      </c>
      <c r="AP24" s="829"/>
      <c r="AQ24" s="436"/>
      <c r="AR24" s="437">
        <f t="shared" ref="AR24:AT27" si="8">IFERROR(CC14,0)</f>
        <v>0</v>
      </c>
      <c r="AS24" s="437">
        <f t="shared" si="8"/>
        <v>0</v>
      </c>
      <c r="AT24" s="467">
        <f t="shared" si="8"/>
        <v>0</v>
      </c>
      <c r="AU24" s="391"/>
      <c r="AV24" s="67"/>
      <c r="AW24" s="425" t="s">
        <v>248</v>
      </c>
      <c r="AY24" s="425" t="s">
        <v>249</v>
      </c>
      <c r="AZ24" s="617"/>
      <c r="BA24" s="462"/>
      <c r="BB24" s="395"/>
      <c r="BC24" s="395"/>
      <c r="BD24" s="395"/>
      <c r="BE24" s="395"/>
      <c r="BF24" s="395"/>
      <c r="BG24" s="395"/>
      <c r="BH24" s="395"/>
      <c r="BI24" s="395"/>
      <c r="BJ24" s="395"/>
      <c r="BK24" s="395"/>
      <c r="BL24" s="866"/>
      <c r="BM24" s="867"/>
      <c r="BN24" s="867"/>
      <c r="BO24" s="867"/>
      <c r="BP24" s="867"/>
      <c r="BQ24" s="849"/>
      <c r="BR24" s="849"/>
      <c r="BS24" s="849"/>
      <c r="BT24" s="849"/>
      <c r="BU24" s="849"/>
      <c r="BV24" s="849"/>
      <c r="BW24" s="849"/>
      <c r="BX24" s="849"/>
      <c r="BY24" s="73"/>
      <c r="BZ24" s="73"/>
      <c r="CA24" s="73"/>
      <c r="CB24" s="73"/>
      <c r="CC24" s="73"/>
      <c r="CR24" s="60"/>
      <c r="CS24" s="144"/>
      <c r="CT24" s="144"/>
      <c r="CU24" s="144"/>
      <c r="CZ24" s="73"/>
      <c r="DA24" s="279"/>
      <c r="DB24" s="95"/>
      <c r="DC24" s="295"/>
      <c r="DD24" s="295"/>
      <c r="DE24" s="295"/>
      <c r="DF24" s="295"/>
      <c r="DG24" s="295"/>
      <c r="DH24" s="295"/>
      <c r="DI24" s="295"/>
      <c r="DJ24" s="295"/>
      <c r="DK24" s="295"/>
      <c r="DL24" s="295"/>
      <c r="DM24" s="295"/>
      <c r="DN24" s="295"/>
      <c r="DO24" s="295"/>
      <c r="DP24" s="295"/>
      <c r="DQ24" s="295"/>
      <c r="DR24" s="295"/>
      <c r="DS24" s="295"/>
      <c r="DT24" s="295"/>
      <c r="DU24" s="295"/>
      <c r="DV24" s="295"/>
      <c r="DW24" s="295"/>
      <c r="DX24" s="296"/>
    </row>
    <row r="25" spans="1:797" s="26" customFormat="1" ht="20.25" customHeight="1" thickBot="1" x14ac:dyDescent="0.35">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462"/>
      <c r="AE25" s="395"/>
      <c r="AF25" s="413"/>
      <c r="AG25" s="414"/>
      <c r="AH25" s="414"/>
      <c r="AI25" s="483" t="str">
        <f>S15</f>
        <v>geplante 2. Gabe</v>
      </c>
      <c r="AJ25" s="414" t="str">
        <f>IF(CN15=0,"keine",CN15)</f>
        <v>keine</v>
      </c>
      <c r="AK25" s="441"/>
      <c r="AL25" s="414"/>
      <c r="AM25" s="414"/>
      <c r="AN25" s="435"/>
      <c r="AO25" s="828">
        <f>AB15</f>
        <v>0</v>
      </c>
      <c r="AP25" s="829"/>
      <c r="AQ25" s="436"/>
      <c r="AR25" s="437">
        <f t="shared" si="8"/>
        <v>0</v>
      </c>
      <c r="AS25" s="437">
        <f t="shared" si="8"/>
        <v>0</v>
      </c>
      <c r="AT25" s="467">
        <f t="shared" si="8"/>
        <v>0</v>
      </c>
      <c r="AU25" s="391"/>
      <c r="AW25" s="425" t="s">
        <v>250</v>
      </c>
      <c r="AY25" s="425" t="s">
        <v>113</v>
      </c>
      <c r="AZ25" s="617"/>
      <c r="BA25" s="462"/>
      <c r="BB25" s="395"/>
      <c r="BC25" s="395"/>
      <c r="BD25" s="395"/>
      <c r="BE25" s="395"/>
      <c r="BF25" s="395"/>
      <c r="BG25" s="395"/>
      <c r="BH25" s="395"/>
      <c r="BI25" s="395"/>
      <c r="BJ25" s="395"/>
      <c r="BK25" s="395"/>
      <c r="BL25" s="1"/>
      <c r="BM25" s="13"/>
      <c r="BN25" s="22"/>
      <c r="BO25" s="23"/>
      <c r="BP25" s="23"/>
      <c r="BQ25" s="23"/>
      <c r="BR25" s="23"/>
      <c r="BS25" s="23"/>
      <c r="BT25" s="23"/>
      <c r="BU25" s="7"/>
      <c r="BV25" s="1"/>
      <c r="BW25" s="13"/>
      <c r="BX25" s="22"/>
      <c r="BY25" s="73"/>
      <c r="BZ25" s="73"/>
      <c r="CA25" s="73"/>
      <c r="CB25" s="73"/>
      <c r="CC25" s="73"/>
      <c r="CR25" s="60"/>
      <c r="CS25" s="144"/>
      <c r="CT25" s="168">
        <f>DATE(BO2,8,1)</f>
        <v>46235</v>
      </c>
      <c r="CU25" s="144"/>
      <c r="CZ25" s="73"/>
      <c r="DA25" s="279" t="s">
        <v>197</v>
      </c>
      <c r="DB25" s="95"/>
      <c r="DC25" s="295"/>
      <c r="DD25" s="295"/>
      <c r="DE25" s="295"/>
      <c r="DF25" s="295" t="str">
        <f>IF(INDEX(Hauptfrüchte!K$6:K$46,$BP7)="","",INDEX(Hauptfrüchte!K$6:K$46,$BP7))</f>
        <v/>
      </c>
      <c r="DG25" s="295"/>
      <c r="DH25" s="295"/>
      <c r="DI25" s="295"/>
      <c r="DJ25" s="295"/>
      <c r="DK25" s="295" t="str">
        <f>IF(INDEX(Hauptfrüchte!L$6:L$46,$BP7)="","",INDEX(Hauptfrüchte!L$6:L$46,$BP7))</f>
        <v/>
      </c>
      <c r="DL25" s="295"/>
      <c r="DM25" s="295"/>
      <c r="DN25" s="295"/>
      <c r="DO25" s="295"/>
      <c r="DP25" s="295" t="str">
        <f>IF((INDEX(Hauptfrüchte!M$6:M$46,$BP7)=""),"",INDEX(Hauptfrüchte!M$6:M$46,$BP7))</f>
        <v/>
      </c>
      <c r="DQ25" s="295"/>
      <c r="DR25" s="295"/>
      <c r="DS25" s="295"/>
      <c r="DT25" s="295"/>
      <c r="DU25" s="295" t="str">
        <f>IF((INDEX(Hauptfrüchte!N$6:N$46,$BP7))="","",(INDEX(Hauptfrüchte!N$6:N$46,$BP7)))</f>
        <v/>
      </c>
      <c r="DV25" s="295"/>
      <c r="DW25" s="295"/>
      <c r="DX25" s="296"/>
    </row>
    <row r="26" spans="1:797" s="26" customFormat="1" ht="14.4" customHeight="1" x14ac:dyDescent="0.3">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462"/>
      <c r="AE26" s="395"/>
      <c r="AF26" s="463" t="str">
        <f>S16</f>
        <v>FJ-Anrechnung der Gabe zur Zwischenfrucht</v>
      </c>
      <c r="AG26" s="464"/>
      <c r="AH26" s="464"/>
      <c r="AI26" s="465"/>
      <c r="AJ26" s="465"/>
      <c r="AK26" s="466"/>
      <c r="AL26" s="464"/>
      <c r="AM26" s="464"/>
      <c r="AN26" s="435"/>
      <c r="AO26" s="828">
        <f>AB16</f>
        <v>0</v>
      </c>
      <c r="AP26" s="829"/>
      <c r="AQ26" s="436"/>
      <c r="AR26" s="437">
        <f t="shared" si="8"/>
        <v>0</v>
      </c>
      <c r="AS26" s="437">
        <f t="shared" si="8"/>
        <v>0</v>
      </c>
      <c r="AT26" s="467">
        <f t="shared" si="8"/>
        <v>0</v>
      </c>
      <c r="AU26" s="391"/>
      <c r="AW26" s="879" t="s">
        <v>415</v>
      </c>
      <c r="AX26" s="880"/>
      <c r="AY26" s="880"/>
      <c r="AZ26" s="881"/>
      <c r="BA26" s="462"/>
      <c r="BB26" s="395"/>
      <c r="BC26" s="395"/>
      <c r="BD26" s="395"/>
      <c r="BE26" s="395"/>
      <c r="BF26" s="395"/>
      <c r="BG26" s="395"/>
      <c r="BH26" s="395"/>
      <c r="BI26" s="395"/>
      <c r="BJ26" s="395"/>
      <c r="BK26" s="395"/>
      <c r="BL26" s="73"/>
      <c r="BN26" s="13"/>
      <c r="BO26" s="22"/>
      <c r="BP26" s="23"/>
      <c r="BQ26" s="23"/>
      <c r="BR26" s="23"/>
      <c r="BS26" s="23"/>
      <c r="BT26" s="23"/>
      <c r="BU26" s="23"/>
      <c r="BV26" s="61"/>
      <c r="BW26" s="1"/>
      <c r="BX26" s="13"/>
      <c r="BY26" s="22"/>
      <c r="BZ26" s="73"/>
      <c r="CA26" s="73"/>
      <c r="CB26" s="73"/>
      <c r="CC26" s="73"/>
      <c r="CD26" s="73"/>
      <c r="CR26" s="60"/>
      <c r="CS26" s="144"/>
      <c r="CT26" s="144"/>
      <c r="CU26" s="144"/>
      <c r="DA26" s="309"/>
      <c r="DB26" s="95"/>
      <c r="DC26" s="95"/>
      <c r="DD26" s="95"/>
      <c r="DE26" s="95"/>
      <c r="DF26" s="95"/>
      <c r="DG26" s="95"/>
      <c r="DH26" s="95"/>
      <c r="DI26" s="295"/>
      <c r="DJ26" s="295"/>
      <c r="DK26" s="295"/>
      <c r="DL26" s="295"/>
      <c r="DM26" s="295"/>
      <c r="DN26" s="295"/>
      <c r="DO26" s="295"/>
      <c r="DP26" s="295"/>
      <c r="DQ26" s="295"/>
      <c r="DR26" s="295"/>
      <c r="DS26" s="295"/>
      <c r="DT26" s="295"/>
      <c r="DU26" s="295"/>
      <c r="DV26" s="295"/>
      <c r="DW26" s="295"/>
      <c r="DX26" s="296"/>
    </row>
    <row r="27" spans="1:797" s="26" customFormat="1" ht="19.95" customHeight="1" thickBot="1" x14ac:dyDescent="0.35">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462"/>
      <c r="AE27" s="395"/>
      <c r="AF27" s="463" t="str">
        <f>S17</f>
        <v xml:space="preserve">FJ-Anrechnung der Gabe im Herbst </v>
      </c>
      <c r="AG27" s="464"/>
      <c r="AH27" s="464"/>
      <c r="AI27" s="464"/>
      <c r="AJ27" s="464"/>
      <c r="AK27" s="464"/>
      <c r="AL27" s="464"/>
      <c r="AM27" s="464"/>
      <c r="AN27" s="484"/>
      <c r="AO27" s="826">
        <f>AB17</f>
        <v>0</v>
      </c>
      <c r="AP27" s="827"/>
      <c r="AQ27" s="485"/>
      <c r="AR27" s="486">
        <f t="shared" si="8"/>
        <v>0</v>
      </c>
      <c r="AS27" s="486">
        <f t="shared" si="8"/>
        <v>0</v>
      </c>
      <c r="AT27" s="487">
        <f t="shared" si="8"/>
        <v>0</v>
      </c>
      <c r="AU27" s="395"/>
      <c r="AV27" s="391"/>
      <c r="AW27" s="882" t="s">
        <v>414</v>
      </c>
      <c r="AX27" s="883"/>
      <c r="AY27" s="883"/>
      <c r="AZ27" s="884"/>
      <c r="BA27" s="462"/>
      <c r="BB27" s="395"/>
      <c r="BC27" s="395"/>
      <c r="BD27" s="395"/>
      <c r="BE27" s="395"/>
      <c r="BF27" s="395"/>
      <c r="BG27" s="395"/>
      <c r="BH27" s="395"/>
      <c r="BI27" s="395"/>
      <c r="BJ27" s="395"/>
      <c r="BK27" s="395"/>
      <c r="BL27" s="73"/>
      <c r="BN27" s="13"/>
      <c r="BO27" s="22"/>
      <c r="BP27" s="23"/>
      <c r="BQ27" s="23"/>
      <c r="BR27" s="23"/>
      <c r="BS27" s="23"/>
      <c r="BT27" s="23"/>
      <c r="BU27" s="23"/>
      <c r="BV27" s="61"/>
      <c r="BW27" s="1"/>
      <c r="BX27" s="13"/>
      <c r="BY27" s="22"/>
      <c r="BZ27" s="73"/>
      <c r="CA27" s="73"/>
      <c r="CB27" s="73"/>
      <c r="CC27" s="73"/>
      <c r="CD27" s="73"/>
      <c r="CR27" s="328"/>
      <c r="CS27" s="144"/>
      <c r="CT27" s="144"/>
      <c r="CU27" s="144"/>
      <c r="DA27" s="279"/>
      <c r="DB27" s="95"/>
      <c r="DC27" s="295"/>
      <c r="DD27" s="295"/>
      <c r="DE27" s="295"/>
      <c r="DF27" s="295"/>
      <c r="DG27" s="295"/>
      <c r="DH27" s="295"/>
      <c r="DI27" s="295"/>
      <c r="DJ27" s="295"/>
      <c r="DK27" s="295"/>
      <c r="DL27" s="295"/>
      <c r="DM27" s="295"/>
      <c r="DN27" s="295"/>
      <c r="DO27" s="295"/>
      <c r="DP27" s="295"/>
      <c r="DQ27" s="295"/>
      <c r="DR27" s="295"/>
      <c r="DS27" s="295"/>
      <c r="DT27" s="295"/>
      <c r="DU27" s="295"/>
      <c r="DV27" s="295"/>
      <c r="DW27" s="295"/>
      <c r="DX27" s="296"/>
    </row>
    <row r="28" spans="1:797" s="26" customFormat="1" ht="20.25" customHeight="1" x14ac:dyDescent="0.3">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462"/>
      <c r="AE28" s="395"/>
      <c r="AF28" s="488" t="str">
        <f>CONCATENATE("Düngeempfehlung ",AF4)</f>
        <v xml:space="preserve">Düngeempfehlung </v>
      </c>
      <c r="AG28" s="489"/>
      <c r="AH28" s="489"/>
      <c r="AI28" s="489"/>
      <c r="AJ28" s="490"/>
      <c r="AK28" s="490"/>
      <c r="AL28" s="490"/>
      <c r="AM28" s="490"/>
      <c r="AN28" s="490"/>
      <c r="AO28" s="824" t="s">
        <v>26</v>
      </c>
      <c r="AP28" s="825"/>
      <c r="AQ28" s="491" t="s">
        <v>93</v>
      </c>
      <c r="AR28" s="492" t="s">
        <v>48</v>
      </c>
      <c r="AS28" s="492" t="s">
        <v>49</v>
      </c>
      <c r="AT28" s="493" t="s">
        <v>50</v>
      </c>
      <c r="AU28" s="802" t="str" cm="1">
        <f t="array" ref="AU28">IF(INDEX(Hauptfrüchte!$BJ$6:$BJ$46,$BP$7)=1,$DX$4,"")</f>
        <v/>
      </c>
      <c r="AV28" s="803"/>
      <c r="AW28" s="619" t="s">
        <v>48</v>
      </c>
      <c r="AX28" s="492" t="s">
        <v>49</v>
      </c>
      <c r="AY28" s="885" t="s">
        <v>50</v>
      </c>
      <c r="AZ28" s="886"/>
      <c r="BA28" s="461"/>
      <c r="BB28" s="395"/>
      <c r="BC28" s="395"/>
      <c r="BD28" s="395"/>
      <c r="BE28" s="395"/>
      <c r="BF28" s="395"/>
      <c r="BG28" s="395"/>
      <c r="BH28" s="395"/>
      <c r="BI28" s="395"/>
      <c r="BJ28" s="395"/>
      <c r="BK28" s="395"/>
      <c r="BL28" s="73"/>
      <c r="BM28" s="122" t="s">
        <v>15</v>
      </c>
      <c r="BN28" s="21"/>
      <c r="BO28" s="21"/>
      <c r="BP28" s="21"/>
      <c r="BQ28" s="21"/>
      <c r="BR28" s="21"/>
      <c r="BS28" s="21"/>
      <c r="BT28" s="21"/>
      <c r="BU28" s="21"/>
      <c r="BV28" s="21"/>
      <c r="BW28" s="21"/>
      <c r="BX28" s="21"/>
      <c r="BY28" s="21"/>
      <c r="BZ28" s="21"/>
      <c r="CA28" s="21"/>
      <c r="CB28" s="21"/>
      <c r="CC28" s="21"/>
      <c r="CD28" s="21"/>
      <c r="CE28" s="21"/>
      <c r="CF28" s="21"/>
      <c r="CG28" s="4"/>
      <c r="CH28" s="4"/>
      <c r="CI28" s="4"/>
      <c r="CJ28" s="4"/>
      <c r="CK28" s="4"/>
      <c r="CL28" s="4"/>
      <c r="CM28" s="4"/>
      <c r="CN28" s="4"/>
      <c r="CO28" s="4"/>
      <c r="CP28" s="4"/>
      <c r="CQ28" s="204"/>
      <c r="CS28" s="206" t="s">
        <v>295</v>
      </c>
      <c r="CT28" s="207"/>
      <c r="CU28" s="208"/>
      <c r="DA28" s="279"/>
      <c r="DB28" s="95"/>
      <c r="DC28" s="295"/>
      <c r="DD28" s="295"/>
      <c r="DE28" s="295"/>
      <c r="DF28" s="295"/>
      <c r="DG28" s="295"/>
      <c r="DH28" s="295"/>
      <c r="DI28" s="295"/>
      <c r="DJ28" s="295"/>
      <c r="DK28" s="295"/>
      <c r="DL28" s="295"/>
      <c r="DM28" s="295"/>
      <c r="DN28" s="295"/>
      <c r="DO28" s="295"/>
      <c r="DP28" s="295"/>
      <c r="DQ28" s="295"/>
      <c r="DR28" s="295"/>
      <c r="DS28" s="295"/>
      <c r="DT28" s="295"/>
      <c r="DU28" s="295"/>
      <c r="DV28" s="295"/>
      <c r="DW28" s="295"/>
      <c r="DX28" s="142"/>
    </row>
    <row r="29" spans="1:797" s="26" customFormat="1" ht="20.25" customHeight="1" x14ac:dyDescent="0.3">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462"/>
      <c r="AE29" s="395"/>
      <c r="AF29" s="494" t="s">
        <v>51</v>
      </c>
      <c r="AG29" s="495"/>
      <c r="AH29" s="495"/>
      <c r="AI29" s="495"/>
      <c r="AJ29" s="495"/>
      <c r="AK29" s="495"/>
      <c r="AL29" s="495"/>
      <c r="AM29" s="450"/>
      <c r="AN29" s="743" t="str">
        <f>IF(AND(BP7&gt;1,OR(B17="",J6="",BP14&lt;=2)),"Pflichtangaben unvollständig","")</f>
        <v/>
      </c>
      <c r="AO29" s="920">
        <f>IF(BQ7=0,0,IF(SUM(AO23,AB14:AC17)&lt;0,0,SUM(AO23,AB14:AC17)))</f>
        <v>0</v>
      </c>
      <c r="AP29" s="921"/>
      <c r="AQ29" s="497"/>
      <c r="AR29" s="496" t="str">
        <f>IFERROR(IF($D$1&lt;&gt;"","",+'DSN 2020'!D16),"")</f>
        <v/>
      </c>
      <c r="AS29" s="496" t="str">
        <f>IFERROR(IF($D$1&lt;&gt;"","",+'DSN 2020'!E16),"")</f>
        <v/>
      </c>
      <c r="AT29" s="498" t="str">
        <f>IFERROR(IF($D$1&lt;&gt;"","",+'DSN 2020'!F16),"")</f>
        <v/>
      </c>
      <c r="AU29" s="802" t="str" cm="1">
        <f t="array" ref="AU29">IF(INDEX(Hauptfrüchte!$BJ$6:$BJ$46,$BP$7)=1,$DX$4,"")</f>
        <v/>
      </c>
      <c r="AV29" s="803"/>
      <c r="AW29" s="620"/>
      <c r="AX29" s="497"/>
      <c r="AY29" s="887"/>
      <c r="AZ29" s="888"/>
      <c r="BA29" s="617"/>
      <c r="BB29" s="395"/>
      <c r="BC29" s="395"/>
      <c r="BD29" s="395"/>
      <c r="BE29" s="395"/>
      <c r="BF29" s="395"/>
      <c r="BG29" s="395"/>
      <c r="BH29" s="395"/>
      <c r="BI29" s="395"/>
      <c r="BJ29" s="395"/>
      <c r="BK29" s="395"/>
      <c r="BL29" s="583" t="s">
        <v>22</v>
      </c>
      <c r="BM29" s="203" t="s">
        <v>366</v>
      </c>
      <c r="BN29" s="187"/>
      <c r="BO29" s="187"/>
      <c r="BP29" s="187"/>
      <c r="BQ29" s="187"/>
      <c r="BR29" s="188"/>
      <c r="BS29" s="21"/>
      <c r="BT29" s="203" t="s">
        <v>367</v>
      </c>
      <c r="BU29" s="187"/>
      <c r="BV29" s="187"/>
      <c r="BW29" s="187"/>
      <c r="BX29" s="187"/>
      <c r="BY29" s="188"/>
      <c r="BZ29" s="21"/>
      <c r="CA29" s="203" t="s">
        <v>368</v>
      </c>
      <c r="CB29" s="187"/>
      <c r="CC29" s="187"/>
      <c r="CD29" s="187"/>
      <c r="CE29" s="187"/>
      <c r="CF29" s="188"/>
      <c r="CG29" s="223" t="s">
        <v>30</v>
      </c>
      <c r="CH29" s="21"/>
      <c r="CI29" s="21"/>
      <c r="CJ29" s="223" t="s">
        <v>31</v>
      </c>
      <c r="CK29" s="21"/>
      <c r="CL29" s="21"/>
      <c r="CM29" s="21"/>
      <c r="CN29" s="21"/>
      <c r="CO29" s="21"/>
      <c r="CP29" s="4"/>
      <c r="CQ29" s="209"/>
      <c r="CS29" s="174" t="s">
        <v>27</v>
      </c>
      <c r="CT29" s="174" t="s">
        <v>28</v>
      </c>
      <c r="CU29" s="210" t="s">
        <v>29</v>
      </c>
      <c r="DA29" s="309"/>
      <c r="DB29" s="95"/>
      <c r="DC29" s="95"/>
      <c r="DD29" s="95"/>
      <c r="DE29" s="95"/>
      <c r="DF29" s="95"/>
      <c r="DG29" s="95"/>
      <c r="DH29" s="95"/>
      <c r="DI29" s="295"/>
      <c r="DJ29" s="295"/>
      <c r="DK29" s="295"/>
      <c r="DL29" s="295"/>
      <c r="DM29" s="295"/>
      <c r="DN29" s="295"/>
      <c r="DO29" s="295"/>
      <c r="DP29" s="295"/>
      <c r="DQ29" s="295"/>
      <c r="DR29" s="295"/>
      <c r="DS29" s="295"/>
      <c r="DT29" s="295"/>
      <c r="DU29" s="295"/>
      <c r="DV29" s="295"/>
      <c r="DW29" s="295"/>
      <c r="DX29" s="142"/>
    </row>
    <row r="30" spans="1:797" s="26" customFormat="1" ht="20.25" customHeight="1" thickBot="1" x14ac:dyDescent="0.35">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462"/>
      <c r="AE30" s="395"/>
      <c r="AF30" s="499" t="s">
        <v>275</v>
      </c>
      <c r="AG30" s="500"/>
      <c r="AH30" s="500"/>
      <c r="AI30" s="500"/>
      <c r="AJ30" s="500"/>
      <c r="AK30" s="500"/>
      <c r="AL30" s="500"/>
      <c r="AM30" s="500"/>
      <c r="AN30" s="501"/>
      <c r="AO30" s="922"/>
      <c r="AP30" s="923"/>
      <c r="AQ30" s="502"/>
      <c r="AR30" s="503" t="str">
        <f>IFERROR(IF($D$1&lt;&gt;"","",+'DSN 2020'!D58),"")</f>
        <v/>
      </c>
      <c r="AS30" s="503" t="str">
        <f>IFERROR(IF($D$1&lt;&gt;"","",+'DSN 2020'!E58),"")</f>
        <v/>
      </c>
      <c r="AT30" s="504" t="str">
        <f>IFERROR(IF($D$1&lt;&gt;"","",+'DSN 2020'!F58),"")</f>
        <v/>
      </c>
      <c r="AU30" s="802" t="str" cm="1">
        <f t="array" ref="AU30">IF(INDEX(Hauptfrüchte!$BJ$6:$BJ$46,$BP$7)=1,$DX$4,"")</f>
        <v/>
      </c>
      <c r="AV30" s="803"/>
      <c r="AW30" s="621" t="str">
        <f>IFERROR(IF($D$1&lt;&gt;"","",IF(INDEX(Hauptfrüchte!$BJ$6:$BJ$46,Programm!$BP$7)=1,'DSN 2020'!J38,"-")),"-")</f>
        <v>-</v>
      </c>
      <c r="AX30" s="622" t="str">
        <f>IFERROR(IF($D$1&lt;&gt;"","",IF(INDEX(Hauptfrüchte!$BJ$6:$BJ$46,Programm!$BP$7)=1,'DSN 2020'!K38,"-")),"")</f>
        <v>-</v>
      </c>
      <c r="AY30" s="877" t="str">
        <f>IFERROR(IF($D$1&lt;&gt;"","",IF(INDEX(Hauptfrüchte!$BJ$6:$BJ$46,Programm!$BP$7)=1,'DSN 2020'!L38,"-")),"-")</f>
        <v>-</v>
      </c>
      <c r="AZ30" s="878"/>
      <c r="BA30" s="462"/>
      <c r="BB30" s="395"/>
      <c r="BC30" s="395"/>
      <c r="BD30" s="395"/>
      <c r="BE30" s="395"/>
      <c r="BF30" s="395"/>
      <c r="BG30" s="395"/>
      <c r="BH30" s="395"/>
      <c r="BI30" s="395"/>
      <c r="BJ30" s="395"/>
      <c r="BK30" s="395"/>
      <c r="BL30" s="73"/>
      <c r="BM30" s="176"/>
      <c r="BN30" s="177" t="s">
        <v>95</v>
      </c>
      <c r="BO30" s="183"/>
      <c r="BP30" s="177"/>
      <c r="BQ30" s="177" t="s">
        <v>96</v>
      </c>
      <c r="BR30" s="183"/>
      <c r="BS30" s="21"/>
      <c r="BT30" s="176"/>
      <c r="BU30" s="177" t="s">
        <v>95</v>
      </c>
      <c r="BV30" s="183"/>
      <c r="BW30" s="177"/>
      <c r="BX30" s="177" t="s">
        <v>96</v>
      </c>
      <c r="BY30" s="183"/>
      <c r="BZ30" s="21"/>
      <c r="CA30" s="176"/>
      <c r="CB30" s="177" t="s">
        <v>95</v>
      </c>
      <c r="CC30" s="183"/>
      <c r="CD30" s="177"/>
      <c r="CE30" s="177" t="s">
        <v>96</v>
      </c>
      <c r="CF30" s="183"/>
      <c r="CG30" s="21"/>
      <c r="CH30" s="21"/>
      <c r="CI30" s="21"/>
      <c r="CJ30" s="21"/>
      <c r="CK30" s="21"/>
      <c r="CL30" s="21"/>
      <c r="CM30" s="21"/>
      <c r="CN30" s="21"/>
      <c r="CO30" s="21"/>
      <c r="CP30" s="4"/>
      <c r="CQ30" s="209"/>
      <c r="CR30" s="205" t="s">
        <v>3</v>
      </c>
      <c r="CS30" s="174"/>
      <c r="CT30" s="174"/>
      <c r="CU30" s="210"/>
      <c r="DA30" s="720" t="s">
        <v>361</v>
      </c>
      <c r="DB30" s="311"/>
      <c r="DC30" s="311" t="s">
        <v>360</v>
      </c>
      <c r="DD30" s="311"/>
      <c r="DE30" s="311"/>
      <c r="DF30" s="313">
        <f>IF(OR(INDEX(Hauptfrüchte!W$6:W$46,$BP7)="",(INDEX(Hauptfrüchte!W$6:W$46,$BP7)="-")),DC32,(INDEX(Hauptfrüchte!W$6:W$46,$BP7)))</f>
        <v>45870</v>
      </c>
      <c r="DG30" s="312"/>
      <c r="DH30" s="312"/>
      <c r="DI30" s="312"/>
      <c r="DJ30" s="312"/>
      <c r="DK30" s="312"/>
      <c r="DL30" s="313" cm="1">
        <f t="array" ref="DL30">IF(INDEX(Hauptfrüchte!Y$6:Y$46,$BP7)="",DY32,(INDEX(Hauptfrüchte!Y$6:Y$46,$BP7)))</f>
        <v>46266</v>
      </c>
      <c r="DM30" s="314">
        <f>DL32+INDEX(Hauptfrüchte!Z$6:Z$46,$BP7)</f>
        <v>46266</v>
      </c>
      <c r="DN30" s="312"/>
      <c r="DO30" s="312"/>
      <c r="DP30" s="314">
        <f>DQ32-INDEX(Hauptfrüchte!AB$6:AB$46,$BP7)</f>
        <v>46266</v>
      </c>
      <c r="DQ30" s="313" cm="1">
        <f t="array" ref="DQ30">IF(INDEX(Hauptfrüchte!AA$6:AA$46,$BP7)="",DU30,(INDEX(Hauptfrüchte!AA$6:AA$46,$BP7)))</f>
        <v>46266</v>
      </c>
      <c r="DR30" s="314">
        <f>DQ32+INDEX(Hauptfrüchte!AB$6:AB$46,$BP7)</f>
        <v>46266</v>
      </c>
      <c r="DS30" s="312"/>
      <c r="DT30" s="312"/>
      <c r="DU30" s="314">
        <f>IFERROR(DV32-INDEX(Hauptfrüchte!AD$6:AD$46,$BP7),"")</f>
        <v>46266</v>
      </c>
      <c r="DV30" s="313">
        <f>IF(INDEX(Hauptfrüchte!AC$6:AC$46,$BP7)="",DY32,INDEX(Hauptfrüchte!AC$6:AC$46,$BP7))</f>
        <v>46266</v>
      </c>
      <c r="DW30" s="312"/>
      <c r="DX30" s="312"/>
      <c r="DY30" s="315"/>
    </row>
    <row r="31" spans="1:797" ht="20.25" customHeight="1" thickBot="1" x14ac:dyDescent="0.35">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462"/>
      <c r="AE31" s="395"/>
      <c r="AF31" s="505" t="s">
        <v>273</v>
      </c>
      <c r="AG31" s="506"/>
      <c r="AH31" s="506"/>
      <c r="AI31" s="506"/>
      <c r="AJ31" s="506"/>
      <c r="AK31" s="506"/>
      <c r="AL31" s="423"/>
      <c r="AM31" s="423"/>
      <c r="AN31" s="423"/>
      <c r="AO31" s="507"/>
      <c r="AP31" s="508"/>
      <c r="AQ31" s="508" t="str">
        <f>IF(INDEX(Hauptfrüchte!AE$6:AE$46,$BP7)=4,"sehr gut",IF(INDEX(Hauptfrüchte!AE$6:AE$46,$BP7)=3,"gut",IF(INDEX(Hauptfrüchte!AE$6:AE$46,$BP7)=2,"mittel",IF(INDEX(Hauptfrüchte!AE$6:AE$46,$BP7)=1,"gering",IF(INDEX(Hauptfrüchte!AE$6:AE$46,$BP7)=0,"-")))))</f>
        <v>-</v>
      </c>
      <c r="AR31" s="509" t="str">
        <f>IF(INDEX(Hauptfrüchte!AF$6:AF$46,$BP7)=4,"sehr gut",IF(INDEX(Hauptfrüchte!AF$6:AF$46,$BP7)=3,"gut",IF(INDEX(Hauptfrüchte!AF$6:AF$46,$BP7)=2,"mittel",IF(INDEX(Hauptfrüchte!AF$6:AF$46,$BP7)=1,"gering","-"))))</f>
        <v>-</v>
      </c>
      <c r="AS31" s="509" t="str">
        <f>IF(INDEX(Hauptfrüchte!AG$6:AG$46,$BP7)=4,"sehr gut",IF(INDEX(Hauptfrüchte!AG$6:AG$46,$BP7)=3,"gut",IF(INDEX(Hauptfrüchte!AG$6:AG$46,$BP7)=2,"mittel",IF(INDEX(Hauptfrüchte!AG$6:AG$46,$BP7)=1,"gering","-"))))</f>
        <v>-</v>
      </c>
      <c r="AT31" s="510" t="str">
        <f>IF(INDEX(Hauptfrüchte!AH$6:AH$46,$BP7)=4,"sehr gut",IF(INDEX(Hauptfrüchte!AH$6:AH$46,$BP7)=3,"gut",IF(INDEX(Hauptfrüchte!AH$6:AH$46,$BP7)=2,"mittel",IF(INDEX(Hauptfrüchte!AH$6:AH$46,$BP7)=1,"gering","-"))))</f>
        <v>-</v>
      </c>
      <c r="AU31" s="391"/>
      <c r="AV31" s="391"/>
      <c r="AW31" s="462"/>
      <c r="AX31" s="462"/>
      <c r="AY31" s="462"/>
      <c r="AZ31" s="462"/>
      <c r="BA31" s="462"/>
      <c r="BB31" s="395"/>
      <c r="BC31" s="395"/>
      <c r="BD31" s="395"/>
      <c r="BE31" s="395"/>
      <c r="BF31" s="395"/>
      <c r="BG31" s="395"/>
      <c r="BH31" s="395"/>
      <c r="BI31" s="395"/>
      <c r="BJ31" s="395"/>
      <c r="BK31" s="395"/>
      <c r="BL31" s="73"/>
      <c r="BM31" s="178" t="s">
        <v>33</v>
      </c>
      <c r="BN31" s="179" t="s">
        <v>34</v>
      </c>
      <c r="BO31" s="184" t="s">
        <v>35</v>
      </c>
      <c r="BP31" s="179" t="s">
        <v>33</v>
      </c>
      <c r="BQ31" s="179" t="s">
        <v>34</v>
      </c>
      <c r="BR31" s="184" t="s">
        <v>35</v>
      </c>
      <c r="BS31" s="21"/>
      <c r="BT31" s="178" t="s">
        <v>33</v>
      </c>
      <c r="BU31" s="179" t="s">
        <v>34</v>
      </c>
      <c r="BV31" s="184" t="s">
        <v>35</v>
      </c>
      <c r="BW31" s="179" t="s">
        <v>33</v>
      </c>
      <c r="BX31" s="179" t="s">
        <v>34</v>
      </c>
      <c r="BY31" s="184" t="s">
        <v>35</v>
      </c>
      <c r="BZ31" s="21"/>
      <c r="CA31" s="178" t="s">
        <v>33</v>
      </c>
      <c r="CB31" s="179" t="s">
        <v>34</v>
      </c>
      <c r="CC31" s="184" t="s">
        <v>35</v>
      </c>
      <c r="CD31" s="179" t="s">
        <v>33</v>
      </c>
      <c r="CE31" s="179" t="s">
        <v>34</v>
      </c>
      <c r="CF31" s="184" t="s">
        <v>35</v>
      </c>
      <c r="CG31" s="21" t="s">
        <v>33</v>
      </c>
      <c r="CH31" s="21" t="s">
        <v>34</v>
      </c>
      <c r="CI31" s="21" t="s">
        <v>35</v>
      </c>
      <c r="CJ31" s="21" t="s">
        <v>33</v>
      </c>
      <c r="CK31" s="21" t="s">
        <v>34</v>
      </c>
      <c r="CL31" s="21"/>
      <c r="CM31" s="21"/>
      <c r="CN31" s="21"/>
      <c r="CO31" s="21" t="s">
        <v>35</v>
      </c>
      <c r="CP31" s="4"/>
      <c r="CQ31" s="209"/>
      <c r="CR31" s="173" t="s">
        <v>32</v>
      </c>
      <c r="CS31" s="175"/>
      <c r="CT31" s="175"/>
      <c r="CU31" s="211"/>
      <c r="CV31" s="26"/>
      <c r="CW31" s="26"/>
      <c r="CX31" s="31"/>
      <c r="CY31" s="31"/>
      <c r="CZ31" s="31"/>
      <c r="DA31" s="301" t="s">
        <v>259</v>
      </c>
      <c r="DB31" s="316"/>
      <c r="DC31" s="316"/>
      <c r="DD31" s="316"/>
      <c r="DE31" s="316"/>
      <c r="DI31" s="295"/>
      <c r="DJ31" s="143"/>
      <c r="DK31" s="295"/>
      <c r="DL31" s="295"/>
      <c r="DM31" s="295"/>
      <c r="DN31" s="295"/>
      <c r="DO31" s="295"/>
      <c r="DP31" s="295"/>
      <c r="DQ31" s="295"/>
      <c r="DR31" s="295"/>
      <c r="DS31" s="295"/>
      <c r="DT31" s="295"/>
      <c r="DU31" s="295"/>
      <c r="DV31" s="295"/>
      <c r="DW31" s="295"/>
      <c r="DX31" s="295"/>
      <c r="DY31" s="296"/>
      <c r="DZ31" s="26"/>
    </row>
    <row r="32" spans="1:797" ht="20.25" customHeight="1" thickBot="1" x14ac:dyDescent="0.3">
      <c r="A32" s="220"/>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462"/>
      <c r="AE32" s="395"/>
      <c r="AF32" s="511" t="s">
        <v>244</v>
      </c>
      <c r="AG32" s="512"/>
      <c r="AH32" s="512"/>
      <c r="AI32" s="512"/>
      <c r="AJ32" s="512"/>
      <c r="AK32" s="512"/>
      <c r="AL32" s="512"/>
      <c r="AM32" s="512"/>
      <c r="AN32" s="512"/>
      <c r="AO32" s="616" t="str">
        <f>(IF(AND($AR$32="-",$AS$32="-",$AT$32="-"),"-keine-",""))</f>
        <v/>
      </c>
      <c r="AP32" s="615"/>
      <c r="AQ32" s="513" t="str">
        <f>IF(BP7=0,"",IF(INDEX(Hauptfrüchte!W$6:W$46,$BP7)="","-",CONCATENATE(TEXT(INDEX(Hauptfrüchte!W$6:W$46,$BP7),"TT.M."),$DV$1,INDEX(Hauptfrüchte!X$6:X$46,$BP7))))</f>
        <v>-</v>
      </c>
      <c r="AR32" s="513" t="str">
        <f>IF(BQ7=0,"",IF(INDEX(Hauptfrüchte!Y$6:Y$46,$BP7)="","-",CONCATENATE(TEXT(INDEX(Hauptfrüchte!Y$6:Y$46,$BP7),"TT.M."),$DV$1,INDEX(Hauptfrüchte!Z$6:Z$46,$BP7))))</f>
        <v/>
      </c>
      <c r="AS32" s="513" t="str">
        <f>IF(BQ7=0,"",IF(INDEX(Hauptfrüchte!AA$6:AA$46,$BP7)="","-",CONCATENATE(TEXT(INDEX(Hauptfrüchte!AA$6:AA$46,$BP7),"TT.M."),$DV$1,INDEX(Hauptfrüchte!AB$6:AB$46,$BP7))))</f>
        <v/>
      </c>
      <c r="AT32" s="514" t="str">
        <f>IF(BQ7=0,"",IF(INDEX(Hauptfrüchte!AC$6:AC$46,$BP7)="","-",CONCATENATE(TEXT(INDEX(Hauptfrüchte!AC$6:AC$46,$BP7),"TT.M."),$DV$1,INDEX(Hauptfrüchte!AD$6:AD$46,$BP7))))</f>
        <v/>
      </c>
      <c r="AU32" s="397"/>
      <c r="AV32" s="391"/>
      <c r="AW32" s="462"/>
      <c r="AX32" s="462"/>
      <c r="AY32" s="427"/>
      <c r="AZ32" s="427"/>
      <c r="BA32" s="427"/>
      <c r="BB32" s="391"/>
      <c r="BC32" s="391"/>
      <c r="BI32" s="395"/>
      <c r="BJ32" s="395"/>
      <c r="BK32" s="395"/>
      <c r="BL32" s="73"/>
      <c r="BM32" s="180" t="str">
        <f>INDEX(Hauptfrüchte!AQ$6:AQ$46,$BP7)</f>
        <v xml:space="preserve"> 1.G</v>
      </c>
      <c r="BN32" s="96" t="str">
        <f>INDEX(Hauptfrüchte!AR$6:AR$46,$BP7)</f>
        <v xml:space="preserve"> 2.G</v>
      </c>
      <c r="BO32" s="185" t="str">
        <f>INDEX(Hauptfrüchte!AS$6:AS$46,$BP7)</f>
        <v>3.G</v>
      </c>
      <c r="BP32" s="96" t="str">
        <f>INDEX(Hauptfrüchte!AT$6:AT$46,$BP7)</f>
        <v xml:space="preserve"> 1.G</v>
      </c>
      <c r="BQ32" s="96" t="str">
        <f>INDEX(Hauptfrüchte!AU$6:AU$46,$BP7)</f>
        <v xml:space="preserve"> 2.G</v>
      </c>
      <c r="BR32" s="185" t="str">
        <f>INDEX(Hauptfrüchte!AV$6:AV$46,$BP7)</f>
        <v>3.G</v>
      </c>
      <c r="BS32" s="29"/>
      <c r="BT32" s="180" t="str">
        <f>INDEX(Hauptfrüchte!AW$6:AW$46,$BP7)</f>
        <v xml:space="preserve"> 1.G</v>
      </c>
      <c r="BU32" s="96" t="str">
        <f>INDEX(Hauptfrüchte!AX$6:AX$46,$BP7)</f>
        <v xml:space="preserve"> 2.G</v>
      </c>
      <c r="BV32" s="185" t="str">
        <f>INDEX(Hauptfrüchte!AY$6:AY$46,$BP7)</f>
        <v>3.G</v>
      </c>
      <c r="BW32" s="96" t="str">
        <f>INDEX(Hauptfrüchte!AZ$6:AZ$46,$BP7)</f>
        <v xml:space="preserve"> 1.G</v>
      </c>
      <c r="BX32" s="96" t="str">
        <f>INDEX(Hauptfrüchte!BA$6:BA$46,$BP7)</f>
        <v xml:space="preserve"> 2.G</v>
      </c>
      <c r="BY32" s="185" t="str">
        <f>INDEX(Hauptfrüchte!BB$6:BB$46,$BP7)</f>
        <v>3.G</v>
      </c>
      <c r="BZ32" s="29"/>
      <c r="CA32" s="180" t="str">
        <f>INDEX(Hauptfrüchte!BC$6:BC$46,$BP7)</f>
        <v xml:space="preserve"> 1.G</v>
      </c>
      <c r="CB32" s="96" t="str">
        <f>INDEX(Hauptfrüchte!BD$6:BD$46,$BP7)</f>
        <v xml:space="preserve"> 2.G</v>
      </c>
      <c r="CC32" s="185" t="str">
        <f>INDEX(Hauptfrüchte!BE$6:BE$46,$BP7)</f>
        <v>3.G</v>
      </c>
      <c r="CD32" s="96" t="str">
        <f>INDEX(Hauptfrüchte!BF$6:BF$46,$BP7)</f>
        <v xml:space="preserve"> 1.G</v>
      </c>
      <c r="CE32" s="96" t="str">
        <f>INDEX(Hauptfrüchte!BG$6:BG$46,$BP7)</f>
        <v xml:space="preserve"> 2.G</v>
      </c>
      <c r="CF32" s="185" t="str">
        <f>INDEX(Hauptfrüchte!BH$6:BH$46,$BP7)</f>
        <v>3.G</v>
      </c>
      <c r="CG32" s="29">
        <f>INDEX(Hauptfrüchte!AK$6:AK$46,$BP7)</f>
        <v>0</v>
      </c>
      <c r="CH32" s="29">
        <f>INDEX(Hauptfrüchte!AL$6:AL$46,$BP7)</f>
        <v>0</v>
      </c>
      <c r="CI32" s="29">
        <f>INDEX(Hauptfrüchte!AM$6:AM$46,$BP7)</f>
        <v>0</v>
      </c>
      <c r="CJ32" s="29" t="str">
        <f>INDEX(Hauptfrüchte!AN$6:AN$46,$BP7)</f>
        <v xml:space="preserve"> 1.G</v>
      </c>
      <c r="CK32" s="29" t="str">
        <f>INDEX(Hauptfrüchte!AO$6:AO$46,$BP7)</f>
        <v xml:space="preserve"> 2.G</v>
      </c>
      <c r="CL32" s="29"/>
      <c r="CM32" s="29"/>
      <c r="CN32" s="29"/>
      <c r="CO32" s="29" t="str">
        <f>INDEX(Hauptfrüchte!AP$6:AP$46,$BP7)</f>
        <v>3.G</v>
      </c>
      <c r="CP32" s="768"/>
      <c r="CQ32" s="180"/>
      <c r="CR32" s="327" t="s">
        <v>36</v>
      </c>
      <c r="CS32" s="168">
        <f>INDEX(Hauptfrüchte!Q$6:Q$46,$BP7)</f>
        <v>0</v>
      </c>
      <c r="CT32" s="168">
        <f>IF(INDEX(Hauptfrüchte!S$6:S$46,$BP7)="",CT25,INDEX(Hauptfrüchte!S$6:S$46,$BP7))</f>
        <v>46235</v>
      </c>
      <c r="CU32" s="212">
        <f>IF(INDEX(Hauptfrüchte!U$6:U$46,$BP7)="",(CT25+1),INDEX(Hauptfrüchte!U$6:U$46,$BP7))</f>
        <v>46236</v>
      </c>
      <c r="CV32" s="31"/>
      <c r="CW32" s="31"/>
      <c r="CX32" s="73"/>
      <c r="CY32" s="73"/>
      <c r="CZ32" s="73"/>
      <c r="DA32" s="301" t="s">
        <v>405</v>
      </c>
      <c r="DB32" s="316"/>
      <c r="DC32" s="291">
        <f>$EA$3</f>
        <v>45870</v>
      </c>
      <c r="DD32" s="291">
        <f>DE32</f>
        <v>45870</v>
      </c>
      <c r="DE32" s="291" cm="1">
        <f t="array" ref="DE32">DF32-INDEX(Hauptfrüchte!X$6:X$46,$BP7)</f>
        <v>45870</v>
      </c>
      <c r="DF32" s="291">
        <f>DF30</f>
        <v>45870</v>
      </c>
      <c r="DG32" s="291" cm="1">
        <f t="array" ref="DG32">DF30+INDEX(Hauptfrüchte!X$6:X$46,$BP7)</f>
        <v>45870</v>
      </c>
      <c r="DH32" s="291">
        <f>DG32</f>
        <v>45870</v>
      </c>
      <c r="DI32" s="317">
        <f>DATE(BN2,12,1)</f>
        <v>45992</v>
      </c>
      <c r="DJ32" s="317">
        <f>DK32</f>
        <v>46266</v>
      </c>
      <c r="DK32" s="317">
        <f>DL32-INDEX(Hauptfrüchte!Z$6:Z$46,$BP7)</f>
        <v>46266</v>
      </c>
      <c r="DL32" s="319">
        <f>DL30</f>
        <v>46266</v>
      </c>
      <c r="DM32" s="320">
        <f>IF($DM30&gt;$DP30,$DP30,$DM30)</f>
        <v>46266</v>
      </c>
      <c r="DN32" s="320">
        <f>DM32</f>
        <v>46266</v>
      </c>
      <c r="DO32" s="317">
        <f>DP32</f>
        <v>46266</v>
      </c>
      <c r="DP32" s="317">
        <f>IF(DP30&lt;DM30,DM30,DP30)</f>
        <v>46266</v>
      </c>
      <c r="DQ32" s="319">
        <f>DQ30</f>
        <v>46266</v>
      </c>
      <c r="DR32" s="320">
        <f>IF($DU30&gt;$DR30,$DR30,$DU30)</f>
        <v>46266</v>
      </c>
      <c r="DS32" s="320">
        <f>DR32</f>
        <v>46266</v>
      </c>
      <c r="DT32" s="320">
        <f>DU32</f>
        <v>46266</v>
      </c>
      <c r="DU32" s="317">
        <f>DV32-INDEX(Hauptfrüchte!AD$6:AD$46,$BP7)</f>
        <v>46266</v>
      </c>
      <c r="DV32" s="321">
        <f>DV30</f>
        <v>46266</v>
      </c>
      <c r="DW32" s="322">
        <f>IFERROR(DV32+INDEX(Hauptfrüchte!AD$6:AD$46,$BP7),"")</f>
        <v>46266</v>
      </c>
      <c r="DX32" s="322">
        <f>DW32</f>
        <v>46266</v>
      </c>
      <c r="DY32" s="294">
        <f>$EA$4</f>
        <v>46266</v>
      </c>
      <c r="EA32" s="26"/>
    </row>
    <row r="33" spans="1:133" ht="20.25" customHeight="1" thickBot="1" x14ac:dyDescent="0.3">
      <c r="A33" s="220"/>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427"/>
      <c r="AE33" s="391"/>
      <c r="AF33" s="515" t="s">
        <v>358</v>
      </c>
      <c r="AG33" s="516"/>
      <c r="AH33" s="516"/>
      <c r="AI33" s="516"/>
      <c r="AJ33" s="516"/>
      <c r="AK33" s="516"/>
      <c r="AL33" s="516"/>
      <c r="AM33" s="516"/>
      <c r="AN33" s="516"/>
      <c r="AO33" s="517"/>
      <c r="AP33" s="518"/>
      <c r="AQ33" s="519" t="str">
        <f>IF(BQ7=0,"",IF(INDEX(Hauptfrüchte!O$6:O$46,$BP7)="","-",CONCATENATE(TEXT(INDEX(Hauptfrüchte!O$6:O$46,$BP7),"TT.M."),$DV$1,INDEX(Hauptfrüchte!P$6:P$46,$BP7))))</f>
        <v/>
      </c>
      <c r="AR33" s="520" t="str">
        <f>IF(BQ7=0,"",IF(INDEX(Hauptfrüchte!Q$6:Q$46,$BP7)="","-",CONCATENATE(TEXT(INDEX(Hauptfrüchte!Q$6:Q$46,$BP7),"TT.M."),$DV$1,INDEX(Hauptfrüchte!R$6:R$46,$BP7))))</f>
        <v/>
      </c>
      <c r="AS33" s="520" t="str">
        <f>IF(BQ7=0,"",IF(INDEX(Hauptfrüchte!S$6:S$46,$BP7)="","-",CONCATENATE(TEXT(INDEX(Hauptfrüchte!S$6:S$46,$BP7),"TT.M."),$DV$1,INDEX(Hauptfrüchte!T$6:T$46,$BP7))))</f>
        <v/>
      </c>
      <c r="AT33" s="521" t="str">
        <f>IF(BQ7=0,"",IF(INDEX(Hauptfrüchte!U$6:U$46,$BP7)="","-",CONCATENATE(TEXT(INDEX(Hauptfrüchte!U$6:U$46,$BP7),"TT.M."),$DV$1,INDEX(Hauptfrüchte!V$6:V$46,$BP7))))</f>
        <v/>
      </c>
      <c r="AU33" s="391"/>
      <c r="AV33" s="395"/>
      <c r="AW33" s="462"/>
      <c r="AX33" s="462"/>
      <c r="AY33" s="427"/>
      <c r="AZ33" s="427"/>
      <c r="BA33" s="427"/>
      <c r="BB33" s="391"/>
      <c r="BC33" s="391"/>
      <c r="BI33" s="395"/>
      <c r="BL33" s="196" t="s">
        <v>216</v>
      </c>
      <c r="BM33" s="197" t="str">
        <f t="shared" ref="BM33:BO36" si="9">IF($CO14=1,BM$32,BP$32)</f>
        <v xml:space="preserve"> 1.G</v>
      </c>
      <c r="BN33" s="198" t="str">
        <f t="shared" si="9"/>
        <v xml:space="preserve"> 2.G</v>
      </c>
      <c r="BO33" s="199" t="str">
        <f t="shared" si="9"/>
        <v>3.G</v>
      </c>
      <c r="BP33" s="202"/>
      <c r="BQ33" s="202"/>
      <c r="BR33" s="172"/>
      <c r="BS33" s="202"/>
      <c r="BT33" s="197" t="str">
        <f t="shared" ref="BT33:BV36" si="10">IF($CO14=1,BT$32,BW$32)</f>
        <v xml:space="preserve"> 1.G</v>
      </c>
      <c r="BU33" s="198" t="str">
        <f t="shared" si="10"/>
        <v xml:space="preserve"> 2.G</v>
      </c>
      <c r="BV33" s="199" t="str">
        <f t="shared" si="10"/>
        <v>3.G</v>
      </c>
      <c r="BW33" s="202"/>
      <c r="BX33" s="202"/>
      <c r="BY33" s="172"/>
      <c r="BZ33" s="202"/>
      <c r="CA33" s="197" t="str">
        <f t="shared" ref="CA33:CC36" si="11">IF($CO14=1,CA$32,CD$32)</f>
        <v xml:space="preserve"> 1.G</v>
      </c>
      <c r="CB33" s="198" t="str">
        <f t="shared" si="11"/>
        <v xml:space="preserve"> 2.G</v>
      </c>
      <c r="CC33" s="199" t="str">
        <f t="shared" si="11"/>
        <v>3.G</v>
      </c>
      <c r="CD33" s="96"/>
      <c r="CE33" s="96"/>
      <c r="CF33" s="185"/>
      <c r="CG33" s="29"/>
      <c r="CH33" s="29"/>
      <c r="CI33" s="29"/>
      <c r="CJ33" s="29"/>
      <c r="CK33" s="29"/>
      <c r="CL33" s="29"/>
      <c r="CM33" s="29"/>
      <c r="CN33" s="29"/>
      <c r="CO33" s="29"/>
      <c r="CP33" s="29"/>
      <c r="CQ33" s="213" t="s">
        <v>216</v>
      </c>
      <c r="CR33" s="168">
        <f>Y14</f>
        <v>0</v>
      </c>
      <c r="CS33" s="169">
        <f>IF(CR33&lt;=$CS$32,1,IF(CR33&lt;=$CT$32,1-(CR33-$CS$32)/($CT$32-$CS$32),0))</f>
        <v>1</v>
      </c>
      <c r="CT33" s="169">
        <f>IF(CR33&lt;=$CT$32,1-CS33,IF(CR33&lt;=$CU$32,1-(CR33-$CT$32)/($CU$32-$CT$32),0))</f>
        <v>0</v>
      </c>
      <c r="CU33" s="169">
        <f>1-CS33-CT33</f>
        <v>0</v>
      </c>
      <c r="CV33" s="73"/>
      <c r="CW33" s="73"/>
      <c r="DA33" s="323"/>
      <c r="DB33" s="316"/>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6"/>
      <c r="EA33" s="26"/>
    </row>
    <row r="34" spans="1:133" ht="20.25" customHeight="1" thickBot="1" x14ac:dyDescent="0.3">
      <c r="A34" s="220"/>
      <c r="B34" s="220"/>
      <c r="C34" s="220"/>
      <c r="D34" s="220"/>
      <c r="E34" s="220"/>
      <c r="F34" s="220"/>
      <c r="G34" s="220"/>
      <c r="H34" s="220"/>
      <c r="I34" s="220"/>
      <c r="J34" s="220"/>
      <c r="K34" s="220"/>
      <c r="L34" s="220"/>
      <c r="M34" s="220"/>
      <c r="N34" s="220"/>
      <c r="O34" s="220"/>
      <c r="P34" s="220"/>
      <c r="Q34" s="220"/>
      <c r="R34" s="220"/>
      <c r="S34" s="220"/>
      <c r="T34" s="220"/>
      <c r="U34" s="220"/>
      <c r="V34" s="220"/>
      <c r="W34" s="220"/>
      <c r="X34" s="275" t="str">
        <f>IF(DN45&lt;&gt;"","**","")</f>
        <v/>
      </c>
      <c r="Y34" s="276" t="str">
        <f>IF(DN45&lt;&gt;"",CONCATENATE("Termine überschneiden sich: ",(TEXT(DN32,"TT.")),"-",(TEXT(DO32,"TT.M."))),"")</f>
        <v/>
      </c>
      <c r="Z34" s="220"/>
      <c r="AA34" s="220"/>
      <c r="AB34" s="220"/>
      <c r="AC34" s="220"/>
      <c r="AD34" s="427"/>
      <c r="AE34" s="391"/>
      <c r="AF34" s="522" t="s">
        <v>309</v>
      </c>
      <c r="AG34" s="523"/>
      <c r="AH34" s="523"/>
      <c r="AI34" s="523"/>
      <c r="AJ34" s="523"/>
      <c r="AK34" s="523"/>
      <c r="AL34" s="523"/>
      <c r="AM34" s="523"/>
      <c r="AN34" s="523"/>
      <c r="AO34" s="524"/>
      <c r="AP34" s="524"/>
      <c r="AQ34" s="525" t="str">
        <f>TRIM(IF(OR($BQ$7=0,INDEX(Hauptfrüchte!K$6:K$46,$BP7)=""),"-",INDEX(Hauptfrüchte!K$6:K$46,$BP7)))</f>
        <v>-</v>
      </c>
      <c r="AR34" s="525" t="str">
        <f>TRIM(IF(OR($BQ$7=0,INDEX(Hauptfrüchte!L$6:L$46,$BP7)=""),"-",INDEX(Hauptfrüchte!L$6:L$46,$BP7)))</f>
        <v>-</v>
      </c>
      <c r="AS34" s="525" t="str">
        <f>TRIM(IF(OR($BQ$7=0,INDEX(Hauptfrüchte!M$6:M$46,$BP7)=""),"-",INDEX(Hauptfrüchte!M$6:M$46,$BP7)))</f>
        <v>-</v>
      </c>
      <c r="AT34" s="526" t="str">
        <f>TRIM(IF(OR($BQ$7=0,INDEX(Hauptfrüchte!N$6:N$46,$BP7)=""),"-",INDEX(Hauptfrüchte!N$6:N$46,$BP7)))</f>
        <v>-</v>
      </c>
      <c r="AU34" s="391"/>
      <c r="AV34" s="395"/>
      <c r="AW34" s="462"/>
      <c r="AX34" s="462"/>
      <c r="AY34" s="427"/>
      <c r="AZ34" s="427"/>
      <c r="BA34" s="427"/>
      <c r="BB34" s="391"/>
      <c r="BC34" s="391"/>
      <c r="BL34" s="200" t="s">
        <v>217</v>
      </c>
      <c r="BM34" s="181" t="str">
        <f t="shared" si="9"/>
        <v xml:space="preserve"> 1.G</v>
      </c>
      <c r="BN34" s="182" t="str">
        <f t="shared" si="9"/>
        <v xml:space="preserve"> 2.G</v>
      </c>
      <c r="BO34" s="186" t="str">
        <f t="shared" si="9"/>
        <v>3.G</v>
      </c>
      <c r="BP34" s="96"/>
      <c r="BQ34" s="96"/>
      <c r="BR34" s="185"/>
      <c r="BS34" s="96"/>
      <c r="BT34" s="181" t="str">
        <f t="shared" si="10"/>
        <v xml:space="preserve"> 1.G</v>
      </c>
      <c r="BU34" s="182" t="str">
        <f t="shared" si="10"/>
        <v xml:space="preserve"> 2.G</v>
      </c>
      <c r="BV34" s="186" t="str">
        <f t="shared" si="10"/>
        <v>3.G</v>
      </c>
      <c r="BW34" s="96"/>
      <c r="BX34" s="96"/>
      <c r="BY34" s="185"/>
      <c r="BZ34" s="96"/>
      <c r="CA34" s="181" t="str">
        <f t="shared" si="11"/>
        <v xml:space="preserve"> 1.G</v>
      </c>
      <c r="CB34" s="182" t="str">
        <f t="shared" si="11"/>
        <v xml:space="preserve"> 2.G</v>
      </c>
      <c r="CC34" s="186" t="str">
        <f t="shared" si="11"/>
        <v>3.G</v>
      </c>
      <c r="CD34" s="189"/>
      <c r="CE34" s="189"/>
      <c r="CF34" s="190"/>
      <c r="CG34" s="31"/>
      <c r="CH34" s="31"/>
      <c r="CI34" s="31"/>
      <c r="CJ34" s="31"/>
      <c r="CK34" s="31"/>
      <c r="CL34" s="31"/>
      <c r="CM34" s="31"/>
      <c r="CN34" s="31"/>
      <c r="CO34" s="31"/>
      <c r="CP34" s="31"/>
      <c r="CQ34" s="214" t="s">
        <v>217</v>
      </c>
      <c r="CR34" s="170">
        <f>Y15</f>
        <v>0</v>
      </c>
      <c r="CS34" s="171">
        <f>IF(CR34&lt;=$CS$32,1,IF(CR34&lt;=$CT$32,1-(CR34-$CS$32)/($CT$32-$CS$32),0))</f>
        <v>1</v>
      </c>
      <c r="CT34" s="171">
        <f>IF(CR34&lt;=$CT$32,1-CS34,IF(CR34&lt;=$CU$32,1-(CR34-$CT$32)/($CU$32-$CT$32),0))</f>
        <v>0</v>
      </c>
      <c r="CU34" s="171">
        <f t="shared" ref="CU34:CU36" si="12">1-CS34-CT34</f>
        <v>0</v>
      </c>
      <c r="DA34" s="277" t="s">
        <v>204</v>
      </c>
      <c r="DB34" s="143"/>
      <c r="DC34" s="295">
        <v>0</v>
      </c>
      <c r="DD34" s="295">
        <v>0</v>
      </c>
      <c r="DE34" s="295">
        <f>DF34</f>
        <v>0</v>
      </c>
      <c r="DF34" s="295">
        <f>IF(INDEX(Hauptfrüchte!W$6:W$46,$BP7)="",0,20)</f>
        <v>0</v>
      </c>
      <c r="DG34" s="295">
        <f>DF34</f>
        <v>0</v>
      </c>
      <c r="DH34" s="295">
        <v>0</v>
      </c>
      <c r="DI34" s="295">
        <v>0</v>
      </c>
      <c r="DJ34" s="295">
        <v>0</v>
      </c>
      <c r="DK34" s="295">
        <f>DL34</f>
        <v>0</v>
      </c>
      <c r="DL34" s="295">
        <f>IF(INDEX(Hauptfrüchte!Y$6:Y$46,$BP7)="",0,20)</f>
        <v>0</v>
      </c>
      <c r="DM34" s="295">
        <f>DL34</f>
        <v>0</v>
      </c>
      <c r="DN34" s="295">
        <v>0</v>
      </c>
      <c r="DO34" s="295">
        <v>0</v>
      </c>
      <c r="DP34" s="295">
        <f>DQ34</f>
        <v>0</v>
      </c>
      <c r="DQ34" s="295">
        <f>(IF(DQ30=DV30,0,DL34))</f>
        <v>0</v>
      </c>
      <c r="DR34" s="295">
        <f>DQ34</f>
        <v>0</v>
      </c>
      <c r="DS34" s="295">
        <v>0</v>
      </c>
      <c r="DT34" s="295">
        <v>0</v>
      </c>
      <c r="DU34" s="295">
        <f>DV34</f>
        <v>0</v>
      </c>
      <c r="DV34" s="295">
        <f>DL34</f>
        <v>0</v>
      </c>
      <c r="DW34" s="295">
        <f>DV34</f>
        <v>0</v>
      </c>
      <c r="DX34" s="295">
        <v>0</v>
      </c>
      <c r="DY34" s="296">
        <v>0</v>
      </c>
    </row>
    <row r="35" spans="1:133" s="746" customFormat="1" ht="20.25" customHeight="1" x14ac:dyDescent="0.25">
      <c r="A35" s="744"/>
      <c r="B35" s="745"/>
      <c r="C35" s="744"/>
      <c r="D35" s="744"/>
      <c r="E35" s="744"/>
      <c r="F35" s="744" t="s">
        <v>572</v>
      </c>
      <c r="G35" s="744"/>
      <c r="H35" s="744"/>
      <c r="T35" s="744"/>
      <c r="U35" s="744"/>
      <c r="V35" s="744"/>
      <c r="W35" s="744"/>
      <c r="X35" s="744"/>
      <c r="Y35" s="744"/>
      <c r="Z35" s="744"/>
      <c r="AA35" s="744"/>
      <c r="AB35" s="744"/>
      <c r="AC35" s="744"/>
      <c r="AD35" s="744"/>
      <c r="AE35" s="744"/>
      <c r="AF35" s="744"/>
      <c r="AG35" s="744"/>
      <c r="AH35" s="744"/>
      <c r="AI35" s="744"/>
      <c r="AJ35" s="744"/>
      <c r="AK35" s="744"/>
      <c r="AL35" s="744"/>
      <c r="AM35" s="744"/>
      <c r="AN35" s="744" t="str">
        <f>F35</f>
        <v>© Bayerische Landesanstalt für Landwirtschaft, Institut für Agrarökologie - Düngung (Of, De, Kj, Ks, Hi), Stand: 29.08.2025</v>
      </c>
      <c r="AO35" s="130"/>
      <c r="AP35" s="130"/>
      <c r="AQ35" s="130"/>
      <c r="AR35" s="744"/>
      <c r="AS35" s="744"/>
      <c r="AT35" s="744"/>
      <c r="AU35" s="744"/>
      <c r="AV35" s="744"/>
      <c r="AW35" s="744"/>
      <c r="AX35" s="744"/>
      <c r="AY35" s="744"/>
      <c r="AZ35" s="744"/>
      <c r="BA35" s="744"/>
      <c r="BB35" s="744"/>
      <c r="BC35" s="744"/>
      <c r="BD35" s="396"/>
      <c r="BE35" s="396"/>
      <c r="BF35" s="396"/>
      <c r="BG35" s="396"/>
      <c r="BH35" s="396"/>
      <c r="BI35" s="396"/>
      <c r="BJ35" s="396"/>
      <c r="BK35" s="396"/>
      <c r="BL35" s="747" t="s">
        <v>218</v>
      </c>
      <c r="BM35" s="748" t="str">
        <f t="shared" si="9"/>
        <v xml:space="preserve"> 1.G</v>
      </c>
      <c r="BN35" s="749" t="str">
        <f t="shared" si="9"/>
        <v xml:space="preserve"> 2.G</v>
      </c>
      <c r="BO35" s="750" t="str">
        <f t="shared" si="9"/>
        <v>3.G</v>
      </c>
      <c r="BP35" s="751"/>
      <c r="BQ35" s="751"/>
      <c r="BR35" s="752"/>
      <c r="BS35" s="751"/>
      <c r="BT35" s="748" t="str">
        <f t="shared" si="10"/>
        <v xml:space="preserve"> 1.G</v>
      </c>
      <c r="BU35" s="749" t="str">
        <f t="shared" si="10"/>
        <v xml:space="preserve"> 2.G</v>
      </c>
      <c r="BV35" s="750" t="str">
        <f t="shared" si="10"/>
        <v>3.G</v>
      </c>
      <c r="BW35" s="751"/>
      <c r="BX35" s="751"/>
      <c r="BY35" s="752"/>
      <c r="BZ35" s="751"/>
      <c r="CA35" s="748" t="str">
        <f t="shared" si="11"/>
        <v xml:space="preserve"> 1.G</v>
      </c>
      <c r="CB35" s="749" t="str">
        <f t="shared" si="11"/>
        <v xml:space="preserve"> 2.G</v>
      </c>
      <c r="CC35" s="750" t="str">
        <f t="shared" si="11"/>
        <v>3.G</v>
      </c>
      <c r="CD35" s="751"/>
      <c r="CE35" s="751"/>
      <c r="CF35" s="752"/>
      <c r="CG35" s="753"/>
      <c r="CH35" s="753"/>
      <c r="CI35" s="753"/>
      <c r="CJ35" s="753"/>
      <c r="CK35" s="753"/>
      <c r="CL35" s="753"/>
      <c r="CM35" s="753"/>
      <c r="CN35" s="753"/>
      <c r="CO35" s="753"/>
      <c r="CP35" s="753"/>
      <c r="CQ35" s="754" t="s">
        <v>218</v>
      </c>
      <c r="CR35" s="755" t="str">
        <f t="shared" ref="CR35:CR36" si="13">Y16</f>
        <v/>
      </c>
      <c r="CS35" s="756">
        <f>IF(CR35&lt;=$CS$32,1,IF(CR35&lt;=$CT$32,1-(CR35-$CS$32)/($CT$32-$CS$32),0))</f>
        <v>0</v>
      </c>
      <c r="CT35" s="756">
        <f>IF(CR35&lt;=$CT$32,1-CS35,IF(CR35&lt;=$CU$32,1-(CR35-$CT$32)/($CU$32-$CT$32),0))</f>
        <v>0</v>
      </c>
      <c r="CU35" s="756">
        <f>1-CS35-CT35</f>
        <v>1</v>
      </c>
      <c r="CV35" s="744"/>
      <c r="CW35" s="744"/>
      <c r="CX35" s="744"/>
      <c r="CY35" s="744"/>
      <c r="CZ35" s="744"/>
      <c r="DA35" s="757" t="s">
        <v>203</v>
      </c>
      <c r="DB35" s="758"/>
      <c r="DC35" s="759">
        <v>1</v>
      </c>
      <c r="DD35" s="759"/>
      <c r="DE35" s="759">
        <v>1</v>
      </c>
      <c r="DF35" s="759">
        <v>1</v>
      </c>
      <c r="DG35" s="759">
        <v>1</v>
      </c>
      <c r="DH35" s="759"/>
      <c r="DI35" s="759">
        <v>1</v>
      </c>
      <c r="DJ35" s="759">
        <v>1</v>
      </c>
      <c r="DK35" s="759">
        <v>1</v>
      </c>
      <c r="DL35" s="759">
        <v>1</v>
      </c>
      <c r="DM35" s="759">
        <v>1</v>
      </c>
      <c r="DN35" s="759">
        <v>1</v>
      </c>
      <c r="DO35" s="759">
        <v>1</v>
      </c>
      <c r="DP35" s="759">
        <v>1</v>
      </c>
      <c r="DQ35" s="759">
        <v>1</v>
      </c>
      <c r="DR35" s="759">
        <v>1</v>
      </c>
      <c r="DS35" s="759">
        <v>1</v>
      </c>
      <c r="DT35" s="759">
        <v>1</v>
      </c>
      <c r="DU35" s="759">
        <v>1</v>
      </c>
      <c r="DV35" s="759">
        <v>1</v>
      </c>
      <c r="DW35" s="759">
        <v>1</v>
      </c>
      <c r="DX35" s="759">
        <v>1</v>
      </c>
      <c r="DY35" s="760">
        <v>1</v>
      </c>
    </row>
    <row r="36" spans="1:133" ht="20.25" customHeight="1" x14ac:dyDescent="0.25">
      <c r="A36" s="73"/>
      <c r="B36" s="220"/>
      <c r="F36" s="1"/>
      <c r="G36" s="1"/>
      <c r="H36" s="67"/>
      <c r="Q36" s="1"/>
      <c r="T36" s="73"/>
      <c r="U36" s="73"/>
      <c r="V36" s="73"/>
      <c r="W36" s="73"/>
      <c r="X36" s="73"/>
      <c r="Y36" s="73"/>
      <c r="Z36" s="73"/>
      <c r="AA36" s="73"/>
      <c r="AB36" s="73"/>
      <c r="AC36" s="73"/>
      <c r="BC36" s="259"/>
      <c r="BL36" s="201" t="s">
        <v>219</v>
      </c>
      <c r="BM36" s="191" t="str">
        <f t="shared" si="9"/>
        <v xml:space="preserve"> 1.G</v>
      </c>
      <c r="BN36" s="192" t="str">
        <f t="shared" si="9"/>
        <v xml:space="preserve"> 2.G</v>
      </c>
      <c r="BO36" s="193" t="str">
        <f t="shared" si="9"/>
        <v>3.G</v>
      </c>
      <c r="BP36" s="194"/>
      <c r="BQ36" s="194"/>
      <c r="BR36" s="195"/>
      <c r="BS36" s="194"/>
      <c r="BT36" s="191" t="str">
        <f t="shared" si="10"/>
        <v xml:space="preserve"> 1.G</v>
      </c>
      <c r="BU36" s="192" t="str">
        <f t="shared" si="10"/>
        <v xml:space="preserve"> 2.G</v>
      </c>
      <c r="BV36" s="193" t="str">
        <f t="shared" si="10"/>
        <v>3.G</v>
      </c>
      <c r="BW36" s="194"/>
      <c r="BX36" s="194"/>
      <c r="BY36" s="195"/>
      <c r="BZ36" s="194"/>
      <c r="CA36" s="191" t="str">
        <f t="shared" si="11"/>
        <v xml:space="preserve"> 1.G</v>
      </c>
      <c r="CB36" s="192" t="str">
        <f t="shared" si="11"/>
        <v xml:space="preserve"> 2.G</v>
      </c>
      <c r="CC36" s="193" t="str">
        <f t="shared" si="11"/>
        <v>3.G</v>
      </c>
      <c r="CD36" s="194"/>
      <c r="CE36" s="194"/>
      <c r="CF36" s="195"/>
      <c r="CG36" s="31"/>
      <c r="CH36" s="31"/>
      <c r="CI36" s="31"/>
      <c r="CJ36" s="31"/>
      <c r="CK36" s="31"/>
      <c r="CL36" s="31"/>
      <c r="CM36" s="31"/>
      <c r="CN36" s="31"/>
      <c r="CO36" s="31"/>
      <c r="CP36" s="31"/>
      <c r="CQ36" s="214" t="s">
        <v>219</v>
      </c>
      <c r="CR36" s="170" t="str">
        <f t="shared" si="13"/>
        <v/>
      </c>
      <c r="CS36" s="171">
        <f>IF(CR36&lt;=$CS$32,1,IF(CR36&lt;=$CT$32,1-(CR36-$CS$32)/($CT$32-$CS$32),0))</f>
        <v>0</v>
      </c>
      <c r="CT36" s="171">
        <f>IF(CR36&lt;=$CT$32,1-CS36,IF(CR36&lt;=$CU$32,1-(CR36-$CT$32)/($CU$32-$CT$32),0))</f>
        <v>0</v>
      </c>
      <c r="CU36" s="171">
        <f t="shared" si="12"/>
        <v>1</v>
      </c>
      <c r="DA36" s="277" t="s">
        <v>195</v>
      </c>
      <c r="DB36" s="143"/>
      <c r="DC36" s="295">
        <v>100</v>
      </c>
      <c r="DD36" s="295"/>
      <c r="DE36" s="295"/>
      <c r="DF36" s="295">
        <f>IF(DD55="",0,100)</f>
        <v>0</v>
      </c>
      <c r="DG36" s="295">
        <f>IF(DE55="",0,100)</f>
        <v>0</v>
      </c>
      <c r="DH36" s="295"/>
      <c r="DI36" s="295">
        <v>100</v>
      </c>
      <c r="DJ36" s="295">
        <v>100</v>
      </c>
      <c r="DK36" s="295">
        <v>100</v>
      </c>
      <c r="DL36" s="295">
        <v>100</v>
      </c>
      <c r="DM36" s="295">
        <v>100</v>
      </c>
      <c r="DN36" s="295">
        <v>100</v>
      </c>
      <c r="DO36" s="295">
        <v>100</v>
      </c>
      <c r="DP36" s="295">
        <v>100</v>
      </c>
      <c r="DQ36" s="295">
        <v>100</v>
      </c>
      <c r="DR36" s="295">
        <v>100</v>
      </c>
      <c r="DS36" s="295">
        <v>100</v>
      </c>
      <c r="DT36" s="295">
        <v>100</v>
      </c>
      <c r="DU36" s="295">
        <v>100</v>
      </c>
      <c r="DV36" s="295">
        <v>100</v>
      </c>
      <c r="DW36" s="295">
        <v>100</v>
      </c>
      <c r="DX36" s="295">
        <v>100</v>
      </c>
      <c r="DY36" s="296">
        <v>100</v>
      </c>
    </row>
    <row r="37" spans="1:133" ht="20.25" hidden="1" customHeight="1" x14ac:dyDescent="0.25">
      <c r="B37" s="220"/>
      <c r="F37" s="1"/>
      <c r="G37" s="1"/>
      <c r="H37" s="67"/>
      <c r="K37" s="220"/>
      <c r="Q37" s="1"/>
      <c r="X37" s="1"/>
      <c r="AC37" s="1"/>
      <c r="AD37" s="1"/>
      <c r="AF37" s="92"/>
      <c r="AG37" s="92"/>
      <c r="AH37" s="92"/>
      <c r="AI37" s="92"/>
      <c r="AJ37" s="92"/>
      <c r="AK37" s="92"/>
      <c r="AL37" s="92"/>
      <c r="AM37" s="92"/>
      <c r="AN37" s="92"/>
      <c r="AO37" s="126"/>
      <c r="AP37" s="126"/>
      <c r="AQ37" s="126"/>
      <c r="AR37" s="92"/>
      <c r="AS37" s="92"/>
      <c r="AT37" s="92"/>
      <c r="AW37" s="73"/>
      <c r="BB37" s="256"/>
      <c r="BC37" s="259"/>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716"/>
      <c r="CR37" s="717"/>
      <c r="CS37" s="716"/>
      <c r="CT37" s="73"/>
      <c r="DA37" s="277" t="s">
        <v>223</v>
      </c>
      <c r="DB37" s="143"/>
      <c r="DC37" s="295"/>
      <c r="DD37" s="295"/>
      <c r="DE37" s="295"/>
      <c r="DI37" s="295"/>
      <c r="DJ37" s="143"/>
      <c r="DK37" s="295"/>
      <c r="DL37" s="295"/>
      <c r="DM37" s="295"/>
      <c r="DN37" s="295"/>
      <c r="DO37" s="295"/>
      <c r="DP37" s="295"/>
      <c r="DQ37" s="295"/>
      <c r="DR37" s="295"/>
      <c r="DS37" s="295"/>
      <c r="DT37" s="295"/>
      <c r="DU37" s="295"/>
      <c r="DV37" s="295"/>
      <c r="DW37" s="295"/>
      <c r="DX37" s="295"/>
      <c r="DY37" s="296"/>
    </row>
    <row r="38" spans="1:133" ht="20.25" hidden="1" customHeight="1" x14ac:dyDescent="0.3">
      <c r="H38" s="67"/>
      <c r="Q38" s="1"/>
      <c r="X38" s="1"/>
      <c r="AC38" s="1"/>
      <c r="AD38" s="1"/>
      <c r="AW38" s="73"/>
      <c r="BB38" s="257"/>
      <c r="BC38" s="259"/>
      <c r="CQ38" s="67" t="s">
        <v>545</v>
      </c>
      <c r="DA38" s="277"/>
      <c r="DB38" s="143"/>
      <c r="DC38" s="295"/>
      <c r="DD38" s="295"/>
      <c r="DE38" s="295"/>
      <c r="DF38" s="295"/>
      <c r="DG38" s="295"/>
      <c r="DH38" s="295"/>
      <c r="DI38" s="295"/>
      <c r="DJ38" s="295"/>
      <c r="DK38" s="295"/>
      <c r="DL38" s="295"/>
      <c r="DM38" s="295"/>
      <c r="DN38" s="295"/>
      <c r="DO38" s="295"/>
      <c r="DP38" s="295"/>
      <c r="DQ38" s="295"/>
      <c r="DR38" s="295"/>
      <c r="DS38" s="295"/>
      <c r="DT38" s="295"/>
      <c r="DU38" s="295"/>
      <c r="DV38" s="295"/>
      <c r="DW38" s="295"/>
      <c r="DX38" s="295"/>
      <c r="DY38" s="141"/>
    </row>
    <row r="39" spans="1:133" ht="20.25" hidden="1" customHeight="1" x14ac:dyDescent="0.3">
      <c r="H39" s="67"/>
      <c r="Q39" s="1"/>
      <c r="X39" s="1"/>
      <c r="AC39" s="1"/>
      <c r="AD39" s="1"/>
      <c r="AW39" s="73"/>
      <c r="BB39" s="258"/>
      <c r="BC39" s="259"/>
      <c r="CR39" s="67" t="s">
        <v>93</v>
      </c>
      <c r="CS39" s="67" t="s">
        <v>546</v>
      </c>
      <c r="CT39" s="67" t="s">
        <v>547</v>
      </c>
      <c r="CU39" s="67" t="s">
        <v>548</v>
      </c>
      <c r="DA39" s="277"/>
      <c r="DB39" s="143"/>
      <c r="DC39" s="295"/>
      <c r="DD39" s="295"/>
      <c r="DE39" s="295"/>
      <c r="DF39" s="295"/>
      <c r="DG39" s="295"/>
      <c r="DH39" s="295"/>
      <c r="DI39" s="295"/>
      <c r="DJ39" s="295"/>
      <c r="DK39" s="295"/>
      <c r="DL39" s="295"/>
      <c r="DM39" s="295"/>
      <c r="DN39" s="295"/>
      <c r="DO39" s="295"/>
      <c r="DP39" s="295"/>
      <c r="DQ39" s="295"/>
      <c r="DR39" s="295"/>
      <c r="DS39" s="295"/>
      <c r="DT39" s="295"/>
      <c r="DU39" s="295"/>
      <c r="DV39" s="295"/>
      <c r="DW39" s="295"/>
      <c r="DX39" s="295"/>
      <c r="DY39" s="141"/>
    </row>
    <row r="40" spans="1:133" ht="20.25" hidden="1" customHeight="1" x14ac:dyDescent="0.3">
      <c r="H40" s="67"/>
      <c r="Q40" s="1"/>
      <c r="X40" s="1"/>
      <c r="AC40" s="1"/>
      <c r="AD40" s="1"/>
      <c r="AW40" s="73"/>
      <c r="CR40" s="67" cm="1">
        <f t="array" ref="CR40">INDEX(Hauptfrüchte!AE$6:AE$46,$BP7)</f>
        <v>0</v>
      </c>
      <c r="CS40" s="67" cm="1">
        <f t="array" ref="CS40">INDEX(Hauptfrüchte!AF$6:AF$46,$BP7)</f>
        <v>0</v>
      </c>
      <c r="CT40" s="67" cm="1">
        <f t="array" ref="CT40">INDEX(Hauptfrüchte!AG$6:AG$46,$BP7)</f>
        <v>0</v>
      </c>
      <c r="CU40" s="67" cm="1">
        <f t="array" ref="CU40">INDEX(Hauptfrüchte!AH$6:AH$46,$BP7)</f>
        <v>0</v>
      </c>
      <c r="DA40" s="277"/>
      <c r="DB40" s="143"/>
      <c r="DC40" s="295"/>
      <c r="DD40" s="295"/>
      <c r="DE40" s="295"/>
      <c r="DF40" s="295"/>
      <c r="DG40" s="295"/>
      <c r="DH40" s="295"/>
      <c r="DI40" s="295"/>
      <c r="DJ40" s="295"/>
      <c r="DK40" s="295"/>
      <c r="DL40" s="295"/>
      <c r="DM40" s="295"/>
      <c r="DN40" s="295"/>
      <c r="DO40" s="295"/>
      <c r="DP40" s="295"/>
      <c r="DQ40" s="295"/>
      <c r="DR40" s="295"/>
      <c r="DS40" s="295"/>
      <c r="DT40" s="295"/>
      <c r="DU40" s="295"/>
      <c r="DV40" s="295"/>
      <c r="DW40" s="295"/>
      <c r="DX40" s="295"/>
      <c r="DY40" s="141"/>
    </row>
    <row r="41" spans="1:133" ht="20.25" hidden="1" customHeight="1" x14ac:dyDescent="0.3">
      <c r="H41" s="67"/>
      <c r="Q41" s="1"/>
      <c r="X41" s="1"/>
      <c r="AC41" s="1"/>
      <c r="AD41" s="1"/>
      <c r="AT41" s="262"/>
      <c r="AW41" s="73"/>
      <c r="DA41" s="277"/>
      <c r="DB41" s="143"/>
      <c r="DC41" s="295"/>
      <c r="DD41" s="295"/>
      <c r="DE41" s="295"/>
      <c r="DF41" s="295"/>
      <c r="DG41" s="295"/>
      <c r="DH41" s="295"/>
      <c r="DI41" s="295"/>
      <c r="DJ41" s="295"/>
      <c r="DK41" s="295"/>
      <c r="DL41" s="295"/>
      <c r="DM41" s="295"/>
      <c r="DN41" s="295"/>
      <c r="DO41" s="295"/>
      <c r="DP41" s="295"/>
      <c r="DQ41" s="295"/>
      <c r="DR41" s="295"/>
      <c r="DS41" s="295"/>
      <c r="DT41" s="295"/>
      <c r="DU41" s="295"/>
      <c r="DV41" s="295"/>
      <c r="DW41" s="295"/>
      <c r="DX41" s="295"/>
      <c r="DY41" s="141"/>
    </row>
    <row r="42" spans="1:133" ht="20.25" hidden="1" customHeight="1" x14ac:dyDescent="0.3">
      <c r="A42" s="1" t="s">
        <v>329</v>
      </c>
      <c r="H42" s="67"/>
      <c r="Q42" s="1"/>
      <c r="X42" s="1"/>
      <c r="AC42" s="1"/>
      <c r="AD42" s="1"/>
      <c r="AT42" s="262"/>
      <c r="AW42" s="73"/>
      <c r="BA42" s="255"/>
      <c r="DA42" s="277"/>
      <c r="DB42" s="143"/>
      <c r="DC42" s="295"/>
      <c r="DD42" s="295"/>
      <c r="DE42" s="295"/>
      <c r="DF42" s="295"/>
      <c r="DG42" s="295"/>
      <c r="DH42" s="295"/>
      <c r="DI42" s="295"/>
      <c r="DJ42" s="295"/>
      <c r="DK42" s="295"/>
      <c r="DL42" s="295"/>
      <c r="DM42" s="295"/>
      <c r="DN42" s="295"/>
      <c r="DO42" s="295"/>
      <c r="DP42" s="295"/>
      <c r="DQ42" s="295"/>
      <c r="DR42" s="295"/>
      <c r="DS42" s="295"/>
      <c r="DT42" s="295"/>
      <c r="DU42" s="295"/>
      <c r="DV42" s="295"/>
      <c r="DW42" s="295"/>
      <c r="DX42" s="295"/>
      <c r="DY42" s="141"/>
    </row>
    <row r="43" spans="1:133" ht="20.25" hidden="1" customHeight="1" x14ac:dyDescent="0.3">
      <c r="A43" s="1" t="s">
        <v>363</v>
      </c>
      <c r="H43" s="67"/>
      <c r="Q43" s="1"/>
      <c r="X43" s="1"/>
      <c r="AC43" s="1"/>
      <c r="AD43" s="1"/>
      <c r="AF43" s="138" t="s">
        <v>267</v>
      </c>
      <c r="AN43" s="261" t="s">
        <v>256</v>
      </c>
      <c r="AT43" s="130"/>
      <c r="AW43" s="73"/>
      <c r="DA43" s="277" t="s">
        <v>224</v>
      </c>
      <c r="DB43" s="143"/>
      <c r="DC43" s="295"/>
      <c r="DD43" s="295"/>
      <c r="DE43" s="295"/>
      <c r="DF43" s="295" t="str">
        <f>IF(DF32=DC32,"",IF(INDEX(Hauptfrüchte!W$6:W$46,$BP7)=0,"",CONCATENATE(TEXT(DF32,"TT.M."),$DV$1,INDEX(Hauptfrüchte!X$6:X$46,$BP7))))</f>
        <v/>
      </c>
      <c r="DG43" s="295"/>
      <c r="DH43" s="295"/>
      <c r="DI43" s="295"/>
      <c r="DJ43" s="295"/>
      <c r="DL43" s="295" t="str">
        <f>IF(DL32=DY32,"",IF(INDEX(Hauptfrüchte!Y$6:Y$46,$BP7)=0,"",CONCATENATE(TEXT(DL32,"TT.M."),$DV$1,INDEX(Hauptfrüchte!Z$6:Z$46,$BP7))))</f>
        <v/>
      </c>
      <c r="DM43" s="295"/>
      <c r="DN43" s="295"/>
      <c r="DO43" s="295"/>
      <c r="DQ43" s="295" t="str">
        <f>IF(DQ32=DV30," ",IF(INDEX(Hauptfrüchte!AA$6:AA$46,$BP7)="","",CONCATENATE(TEXT(DQ32,"TT.M."),$DV$1,INDEX(Hauptfrüchte!AB$6:AB$46,$BP7))))</f>
        <v xml:space="preserve"> </v>
      </c>
      <c r="DR43" s="295"/>
      <c r="DS43" s="295"/>
      <c r="DT43" s="295"/>
      <c r="DV43" s="295" t="str">
        <f>IF(OR(DV32=DY32,INDEX(Hauptfrüchte!AD$6:AD$46,$BP7)=""),"",CONCATENATE(TEXT(DV32,"TT.M."),$DV$1,INDEX(Hauptfrüchte!AD$6:AD$46,$BP7)))</f>
        <v/>
      </c>
      <c r="DW43" s="295"/>
      <c r="DX43" s="295"/>
      <c r="DY43" s="141"/>
      <c r="EC43" s="33"/>
    </row>
    <row r="44" spans="1:133" ht="20.25" hidden="1" customHeight="1" x14ac:dyDescent="0.25">
      <c r="A44" s="1" t="s">
        <v>330</v>
      </c>
      <c r="F44" s="1"/>
      <c r="G44" s="1"/>
      <c r="H44" s="67"/>
      <c r="Q44" s="1"/>
      <c r="X44" s="1"/>
      <c r="AC44" s="1"/>
      <c r="AD44" s="1"/>
      <c r="AF44" s="260" t="s">
        <v>272</v>
      </c>
      <c r="AW44" s="73"/>
      <c r="AX44" s="73"/>
      <c r="DA44" s="277" t="s">
        <v>225</v>
      </c>
      <c r="DB44" s="143"/>
      <c r="DC44" s="143"/>
      <c r="DD44" s="143"/>
      <c r="DE44" s="143"/>
      <c r="DF44" s="143"/>
      <c r="DG44" s="143"/>
      <c r="DH44" s="143"/>
      <c r="DI44" s="143"/>
      <c r="DJ44" s="143"/>
      <c r="DK44" s="143"/>
      <c r="DL44" s="143"/>
      <c r="DM44" s="143"/>
      <c r="DN44" s="143"/>
      <c r="DO44" s="143"/>
      <c r="DP44" s="143"/>
      <c r="DQ44" s="143"/>
      <c r="DR44" s="143"/>
      <c r="DS44" s="143"/>
      <c r="DT44" s="143"/>
      <c r="DU44" s="143"/>
      <c r="DV44" s="143"/>
      <c r="DW44" s="143"/>
      <c r="DX44" s="143"/>
      <c r="DY44" s="141"/>
      <c r="EC44" s="136"/>
    </row>
    <row r="45" spans="1:133" ht="20.25" hidden="1" customHeight="1" x14ac:dyDescent="0.25">
      <c r="A45" s="1" t="s">
        <v>364</v>
      </c>
      <c r="F45" s="1"/>
      <c r="G45" s="1"/>
      <c r="H45" s="1"/>
      <c r="Q45" s="1"/>
      <c r="X45" s="1"/>
      <c r="AC45" s="1"/>
      <c r="AD45" s="1"/>
      <c r="AF45" s="67" t="s">
        <v>268</v>
      </c>
      <c r="AI45" s="261" t="str">
        <f>CONCATENATE("min. Düngeempfehlung",CHAR(10),CHAR(10),CHAR(10),,CHAR(10),"opt. Zeitraum")</f>
        <v>min. Düngeempfehlung
opt. Zeitraum</v>
      </c>
      <c r="DA45" s="277" t="s">
        <v>240</v>
      </c>
      <c r="DB45" s="143"/>
      <c r="DC45" s="143"/>
      <c r="DD45" s="143"/>
      <c r="DE45" s="143"/>
      <c r="DF45" s="143"/>
      <c r="DG45" s="143"/>
      <c r="DH45" s="143"/>
      <c r="DI45" s="143"/>
      <c r="DJ45" s="143"/>
      <c r="DK45" s="143"/>
      <c r="DL45" s="295"/>
      <c r="DN45" s="295" t="str">
        <f>IF(DM30=DY32,"",IF($DM30&gt;$DP30,DL34,""))</f>
        <v/>
      </c>
      <c r="DO45" s="295" t="str">
        <f>IF($DM30&gt;$DP30,DL34,"")</f>
        <v/>
      </c>
      <c r="DP45" s="143"/>
      <c r="DQ45" s="143"/>
      <c r="DR45" s="143"/>
      <c r="DS45" s="143"/>
      <c r="DT45" s="143"/>
      <c r="DU45" s="143"/>
      <c r="DV45" s="143"/>
      <c r="DW45" s="143"/>
      <c r="DX45" s="143"/>
      <c r="DY45" s="141"/>
    </row>
    <row r="46" spans="1:133" s="2" customFormat="1" ht="20.25" hidden="1" customHeight="1" x14ac:dyDescent="0.25">
      <c r="A46" s="1" t="s">
        <v>331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67"/>
      <c r="AF46" s="67" t="s">
        <v>269</v>
      </c>
      <c r="AG46" s="67"/>
      <c r="AH46" s="67"/>
      <c r="AI46" s="261" t="str">
        <f>CONCATENATE("Abschlag = Düngung min. Herbst ",IF(ISBLANK(M17),0,ROUND(Q17,1)),AN43)</f>
        <v xml:space="preserve">Abschlag = Düngung min. Herbst 0 kg N </v>
      </c>
      <c r="AJ46" s="67"/>
      <c r="AK46" s="67"/>
      <c r="AL46" s="67"/>
      <c r="AM46" s="67"/>
      <c r="AN46" s="67"/>
      <c r="AO46" s="130"/>
      <c r="AP46" s="261"/>
      <c r="AQ46" s="130"/>
      <c r="AR46" s="67"/>
      <c r="AS46" s="67"/>
      <c r="AT46" s="67"/>
      <c r="AU46" s="67"/>
      <c r="AV46" s="67"/>
      <c r="AW46" s="67"/>
      <c r="AX46" s="67"/>
      <c r="AY46" s="67"/>
      <c r="AZ46" s="67"/>
      <c r="BA46" s="67"/>
      <c r="BB46" s="67"/>
      <c r="BC46" s="67"/>
      <c r="BD46" s="391"/>
      <c r="BE46" s="391"/>
      <c r="BF46" s="391"/>
      <c r="BG46" s="391"/>
      <c r="BH46" s="391"/>
      <c r="BI46" s="391"/>
      <c r="BJ46" s="391"/>
      <c r="BK46" s="391"/>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130"/>
      <c r="CS46" s="67"/>
      <c r="CT46" s="67"/>
      <c r="CU46" s="67"/>
      <c r="CV46" s="67"/>
      <c r="CW46" s="67"/>
      <c r="CX46" s="67"/>
      <c r="CY46" s="67"/>
      <c r="CZ46" s="67"/>
      <c r="DA46" s="277" t="s">
        <v>243</v>
      </c>
      <c r="DB46" s="143"/>
      <c r="DC46" s="143"/>
      <c r="DD46" s="143"/>
      <c r="DE46" s="143"/>
      <c r="DF46" s="143"/>
      <c r="DG46" s="143"/>
      <c r="DH46" s="143"/>
      <c r="DI46" s="143"/>
      <c r="DJ46" s="143"/>
      <c r="DK46" s="143"/>
      <c r="DL46" s="295"/>
      <c r="DN46" s="295" t="str">
        <f>IF(DN45&lt;&gt;"","*","")</f>
        <v/>
      </c>
      <c r="DO46" s="295" t="str">
        <f>IF(DO45&lt;&gt;"","*","")</f>
        <v/>
      </c>
      <c r="DP46" s="143"/>
      <c r="DQ46" s="143"/>
      <c r="DR46" s="143" t="str">
        <f>IF(DR45&gt;0,CONCATENATE((TEXT(DS32,"TT.")),"-",(TEXT(DT32,"TT.M."))),"")</f>
        <v/>
      </c>
      <c r="DS46" s="143"/>
      <c r="DT46" s="143"/>
      <c r="DU46" s="143"/>
      <c r="DV46" s="143"/>
      <c r="DW46" s="143"/>
      <c r="DX46" s="143"/>
      <c r="DY46" s="141"/>
      <c r="DZ46" s="1"/>
      <c r="EA46" s="1"/>
      <c r="EB46" s="1"/>
    </row>
    <row r="47" spans="1:133" ht="15" hidden="1" customHeight="1" x14ac:dyDescent="0.25">
      <c r="A47" s="1" t="s">
        <v>333</v>
      </c>
      <c r="F47" s="1"/>
      <c r="G47" s="1"/>
      <c r="H47" s="1"/>
      <c r="Q47" s="1"/>
      <c r="X47" s="1"/>
      <c r="AC47" s="1"/>
      <c r="AD47" s="1"/>
      <c r="AF47" s="67" t="s">
        <v>270</v>
      </c>
      <c r="AI47" s="67" t="str">
        <f>CONCATENATE("min. Düngebedarf Frühjahr ",AO30,AN43)</f>
        <v xml:space="preserve">min. Düngebedarf Frühjahr  kg N </v>
      </c>
      <c r="DA47" s="297" t="s">
        <v>265</v>
      </c>
      <c r="DB47" s="298"/>
      <c r="DC47" s="298"/>
      <c r="DD47" s="298"/>
      <c r="DE47" s="298"/>
      <c r="DF47" s="298"/>
      <c r="DG47" s="298"/>
      <c r="DH47" s="298"/>
      <c r="DI47" s="298"/>
      <c r="DJ47" s="298"/>
      <c r="DK47" s="298"/>
      <c r="DL47" s="310"/>
      <c r="DM47" s="298"/>
      <c r="DN47" s="310" t="str">
        <f>IF(DN45&lt;&gt;"",CONCATENATE((TEXT(DN32,"TT.")),"-",(TEXT(DO32,"TT.M."))),"")</f>
        <v/>
      </c>
      <c r="DO47" s="310"/>
      <c r="DP47" s="298"/>
      <c r="DQ47" s="298"/>
      <c r="DR47" s="298"/>
      <c r="DS47" s="298"/>
      <c r="DT47" s="298"/>
      <c r="DU47" s="298"/>
      <c r="DV47" s="298"/>
      <c r="DW47" s="298"/>
      <c r="DX47" s="298"/>
      <c r="DY47" s="299"/>
    </row>
    <row r="48" spans="1:133" ht="15" hidden="1" customHeight="1" x14ac:dyDescent="0.25">
      <c r="A48" s="1" t="s">
        <v>332</v>
      </c>
      <c r="F48" s="1"/>
      <c r="G48" s="1"/>
      <c r="H48" s="1"/>
      <c r="Q48" s="1"/>
      <c r="X48" s="1"/>
      <c r="AC48" s="1"/>
      <c r="AD48" s="1"/>
      <c r="AF48" s="138" t="s">
        <v>271</v>
      </c>
      <c r="AN48" s="261"/>
      <c r="AO48" s="67"/>
      <c r="AP48" s="67"/>
      <c r="AR48" s="130"/>
      <c r="DA48" s="288" t="s">
        <v>362</v>
      </c>
      <c r="DB48" s="216"/>
      <c r="DC48" s="216"/>
      <c r="DD48" s="295" t="s">
        <v>24</v>
      </c>
      <c r="DE48" s="295" t="s">
        <v>359</v>
      </c>
      <c r="DF48" s="312" t="s">
        <v>48</v>
      </c>
      <c r="DG48" s="312" t="s">
        <v>49</v>
      </c>
      <c r="DH48" s="290"/>
    </row>
    <row r="49" spans="1:112" ht="16.2" hidden="1" customHeight="1" x14ac:dyDescent="0.25">
      <c r="A49" s="1" t="s">
        <v>334</v>
      </c>
      <c r="F49" s="1"/>
      <c r="G49" s="1"/>
      <c r="H49" s="1"/>
      <c r="Q49" s="1"/>
      <c r="X49" s="1"/>
      <c r="AC49" s="1"/>
      <c r="AD49" s="1"/>
      <c r="AF49" s="67" t="s">
        <v>268</v>
      </c>
      <c r="AI49" s="274" t="str">
        <f>CONCATENATE("Art",CHAR(10),"Datum",CHAR(10),CHAR(10),"Ausgeb. Nges / Anrechnb. N z. HF",CHAR(10),CHAR(10),CHAR(10),"opt. Zeitraum")</f>
        <v>Art
Datum
Ausgeb. Nges / Anrechnb. N z. HF
opt. Zeitraum</v>
      </c>
      <c r="AO49" s="67"/>
      <c r="AP49" s="67"/>
      <c r="AR49" s="130"/>
      <c r="DA49" s="301" t="s">
        <v>476</v>
      </c>
      <c r="DB49" s="143"/>
      <c r="DC49" s="291">
        <f>$EA$3</f>
        <v>45870</v>
      </c>
      <c r="DD49" s="318">
        <f>IF(Y10="",DC49,Y10)</f>
        <v>45870</v>
      </c>
      <c r="DE49" s="318">
        <f>IF(Y11="",DD49+1,Y11)</f>
        <v>45871</v>
      </c>
      <c r="DF49" s="318">
        <f>IF(AND(Y14="",Y15&lt;&gt;""),Y15-1,IF(Y14="",DH49,Y14))</f>
        <v>46266</v>
      </c>
      <c r="DG49" s="318">
        <f>IF(Y15="",DH49,Y15)</f>
        <v>46266</v>
      </c>
      <c r="DH49" s="294">
        <f>$EA$4</f>
        <v>46266</v>
      </c>
    </row>
    <row r="50" spans="1:112" ht="14.4" hidden="1" customHeight="1" x14ac:dyDescent="0.25">
      <c r="A50" s="1" t="s">
        <v>335</v>
      </c>
      <c r="F50" s="1"/>
      <c r="G50" s="1"/>
      <c r="H50" s="1"/>
      <c r="Q50" s="1"/>
      <c r="X50" s="1"/>
      <c r="AC50" s="1"/>
      <c r="AD50" s="1"/>
      <c r="AF50" s="67" t="s">
        <v>269</v>
      </c>
      <c r="AI50" s="261" t="str">
        <f>CONCATENATE("Abschlag = Düngung org. Vorfrucht/Herbst ",ROUND(SUM(AB6:AC11),1),AN43)</f>
        <v xml:space="preserve">Abschlag = Düngung org. Vorfrucht/Herbst 0 kg N </v>
      </c>
      <c r="AO50" s="262"/>
      <c r="AP50" s="67"/>
      <c r="AR50" s="130"/>
      <c r="AS50" s="130"/>
      <c r="DA50" s="277" t="s">
        <v>195</v>
      </c>
      <c r="DB50" s="143"/>
      <c r="DC50" s="295">
        <v>100</v>
      </c>
      <c r="DD50" s="295">
        <f>IF(DD51="",0,100)</f>
        <v>0</v>
      </c>
      <c r="DE50" s="295">
        <f>IF(DE51="",0,100)</f>
        <v>0</v>
      </c>
      <c r="DF50" s="295">
        <f>IF(DF51="",0,100)</f>
        <v>0</v>
      </c>
      <c r="DG50" s="295">
        <f>IF(DG51="",0,100)</f>
        <v>0</v>
      </c>
      <c r="DH50" s="296">
        <v>100</v>
      </c>
    </row>
    <row r="51" spans="1:112" ht="16.2" hidden="1" customHeight="1" x14ac:dyDescent="0.25">
      <c r="A51" s="1" t="s">
        <v>401</v>
      </c>
      <c r="F51" s="1"/>
      <c r="G51" s="1"/>
      <c r="H51" s="1"/>
      <c r="Q51" s="1"/>
      <c r="X51" s="1"/>
      <c r="AC51" s="1"/>
      <c r="AD51" s="1"/>
      <c r="AF51" s="67" t="s">
        <v>270</v>
      </c>
      <c r="AI51" s="67" t="str">
        <f>CONCATENATE("Abschlag (Düngung) org. Frühjahr ",ROUND(SUM(AB14:AC17),1),AN43)</f>
        <v xml:space="preserve">Abschlag (Düngung) org. Frühjahr 0 kg N </v>
      </c>
      <c r="AJ51" s="2"/>
      <c r="AK51" s="2"/>
      <c r="AL51" s="2"/>
      <c r="AM51" s="2"/>
      <c r="AN51" s="2"/>
      <c r="AO51" s="262"/>
      <c r="AP51" s="2"/>
      <c r="AQ51" s="2"/>
      <c r="DA51" s="277" t="s">
        <v>223</v>
      </c>
      <c r="DB51" s="143"/>
      <c r="DC51" s="143"/>
      <c r="DD51" s="719" t="str">
        <f>IF(OR(CM16&lt;2,COUNTBLANK(X10:AA10)&gt;0),"",IF(X10&gt;0,CONCATENATE(INDEX('org Dung'!H5:H22,$CM16),CHAR(10),TEXT(DD49,"TT.M."),CHAR(10),CHAR(10),ROUND((X10*Z10),1)," / ",ROUND((AB10+AB16)*-1,1)),""))</f>
        <v/>
      </c>
      <c r="DE51" s="719" t="str">
        <f>IF(OR(CM17&lt;2,COUNTBLANK(X11:AA11)&gt;0),"",IF(X11&gt;0,CONCATENATE(INDEX('org Dung'!H5:H22,$CM17),CHAR(10),TEXT(DE49,"TT.M."),CHAR(10),CHAR(10),ROUND((X11*Z11),1)," / ",ROUND((AB11+AB17)*-1,1)),""))</f>
        <v/>
      </c>
      <c r="DF51" s="324" t="str">
        <f>IF(OR(DF49=DC49,X14="",AB14=0),"",CONCATENATE(INDEX('org Dung'!H5:H22,$CM14),CHAR(10),TEXT(DF49,"TT.M."),CHAR(10),CHAR(10),ROUND(X14*Z14,1)," / ",ROUND(AB14*-1,1)))</f>
        <v/>
      </c>
      <c r="DG51" s="324" t="str">
        <f>IF(OR(DG49=DH49,X15="",AB15=0),"",CONCATENATE(INDEX('org Dung'!H5:H22,$CM15),CHAR(10),TEXT(DG49,"TT.M."),CHAR(10),CHAR(10),ROUND(X15*Z15,1)," / ",ROUND(AB15*-1,1)))</f>
        <v/>
      </c>
      <c r="DH51" s="141"/>
    </row>
    <row r="52" spans="1:112" ht="13.8" hidden="1" x14ac:dyDescent="0.25">
      <c r="A52" s="1" t="s">
        <v>337</v>
      </c>
      <c r="F52" s="1"/>
      <c r="G52" s="1"/>
      <c r="H52" s="1"/>
      <c r="Q52" s="1"/>
      <c r="X52" s="1"/>
      <c r="AC52" s="1"/>
      <c r="AD52" s="1"/>
      <c r="DA52" s="297" t="s">
        <v>203</v>
      </c>
      <c r="DB52" s="298"/>
      <c r="DC52" s="298">
        <v>1</v>
      </c>
      <c r="DD52" s="298"/>
      <c r="DE52" s="298"/>
      <c r="DF52" s="298">
        <v>1</v>
      </c>
      <c r="DG52" s="298">
        <v>1</v>
      </c>
      <c r="DH52" s="299">
        <v>1</v>
      </c>
    </row>
    <row r="53" spans="1:112" ht="13.8" hidden="1" x14ac:dyDescent="0.25">
      <c r="A53" s="600" t="s">
        <v>400</v>
      </c>
      <c r="F53" s="1"/>
      <c r="G53" s="1"/>
      <c r="H53" s="1"/>
      <c r="Q53" s="1"/>
      <c r="X53" s="1"/>
      <c r="AC53" s="1"/>
      <c r="AD53" s="1"/>
      <c r="AF53" s="331" t="s">
        <v>310</v>
      </c>
      <c r="AJ53" s="67" t="str">
        <f>IF(INDEX(Hauptfrüchte!$BJ$6:$BJ$46,Programm!$BP$7)=1,CONCATENATE("*Datum 2. Gabe = Saattag ",AS33),IF(INDEX(Hauptfrüchte!$BJ$6:$BJ$46,Programm!$BP$7)=2,"Hinweis: Bei All-in-one wird eine Zusammenlegung der Gaben vor dem Legen empfohlen. Dabei ist die Verwendung stabil. N-Dünger sinnvoll.",""))</f>
        <v/>
      </c>
      <c r="AM53" s="1"/>
      <c r="AN53" s="1"/>
      <c r="AO53" s="1"/>
      <c r="AP53" s="1"/>
      <c r="AQ53" s="1"/>
    </row>
    <row r="54" spans="1:112" ht="13.8" hidden="1" x14ac:dyDescent="0.25">
      <c r="A54" s="600" t="s">
        <v>402</v>
      </c>
      <c r="F54" s="1"/>
      <c r="G54" s="1"/>
      <c r="H54" s="1"/>
      <c r="Q54" s="1"/>
      <c r="X54" s="1"/>
      <c r="AC54" s="1"/>
      <c r="AD54" s="1"/>
      <c r="AF54" s="331"/>
      <c r="AP54" s="1"/>
      <c r="AQ54" s="1"/>
    </row>
    <row r="55" spans="1:112" ht="13.8" hidden="1" x14ac:dyDescent="0.25">
      <c r="A55" s="600" t="s">
        <v>403</v>
      </c>
      <c r="F55" s="1"/>
      <c r="G55" s="1"/>
      <c r="H55" s="1"/>
      <c r="Q55" s="1"/>
      <c r="X55" s="1"/>
      <c r="AC55" s="1"/>
      <c r="AD55" s="1"/>
      <c r="AF55" s="331"/>
      <c r="AM55" s="1"/>
      <c r="AN55" s="1"/>
      <c r="AO55" s="1"/>
      <c r="AP55" s="1"/>
      <c r="AQ55" s="1"/>
      <c r="DD55" s="324"/>
      <c r="DE55" s="324"/>
    </row>
    <row r="56" spans="1:112" ht="13.8" hidden="1" x14ac:dyDescent="0.25">
      <c r="F56" s="1"/>
      <c r="G56" s="1"/>
      <c r="H56" s="1"/>
      <c r="Q56" s="1"/>
      <c r="X56" s="1"/>
      <c r="AC56" s="1"/>
      <c r="AD56" s="1"/>
      <c r="AF56" s="331"/>
      <c r="AJ56" s="1"/>
      <c r="AK56" s="1"/>
      <c r="AL56" s="1"/>
      <c r="AN56" s="1"/>
      <c r="AO56" s="1"/>
      <c r="AP56" s="1"/>
      <c r="AQ56" s="1"/>
    </row>
    <row r="57" spans="1:112" ht="13.8" x14ac:dyDescent="0.25">
      <c r="F57" s="1"/>
      <c r="G57" s="1"/>
      <c r="H57" s="1"/>
      <c r="Q57" s="1"/>
      <c r="X57" s="1"/>
      <c r="AC57" s="1"/>
      <c r="AD57" s="1"/>
      <c r="AO57" s="1"/>
      <c r="DA57" s="122"/>
    </row>
    <row r="58" spans="1:112" ht="13.8" x14ac:dyDescent="0.25">
      <c r="F58" s="1"/>
      <c r="G58" s="1"/>
      <c r="H58" s="1"/>
      <c r="Q58" s="1"/>
      <c r="X58" s="1"/>
      <c r="AC58" s="1"/>
      <c r="AD58" s="1"/>
      <c r="AJ58" s="73"/>
      <c r="AK58" s="73"/>
      <c r="AL58" s="73"/>
      <c r="AM58" s="73"/>
      <c r="AN58" s="73"/>
      <c r="AO58" s="73"/>
    </row>
    <row r="59" spans="1:112" ht="13.8" x14ac:dyDescent="0.25">
      <c r="F59" s="1"/>
      <c r="G59" s="1"/>
      <c r="H59" s="1"/>
      <c r="Q59" s="1"/>
      <c r="X59" s="1"/>
      <c r="AC59" s="1"/>
      <c r="AD59" s="1"/>
    </row>
    <row r="60" spans="1:112" x14ac:dyDescent="0.3">
      <c r="R60" s="67"/>
      <c r="S60" s="67"/>
      <c r="T60" s="67"/>
      <c r="U60" s="67"/>
      <c r="V60" s="67"/>
      <c r="W60" s="67"/>
      <c r="X60" s="67"/>
      <c r="Y60" s="67"/>
      <c r="Z60" s="67"/>
      <c r="AA60" s="67"/>
      <c r="AB60" s="67"/>
    </row>
    <row r="61" spans="1:112" x14ac:dyDescent="0.3">
      <c r="R61" s="67"/>
      <c r="S61" s="67"/>
      <c r="T61" s="67"/>
      <c r="U61" s="67"/>
      <c r="V61" s="67"/>
      <c r="W61" s="67"/>
      <c r="X61" s="67"/>
      <c r="Y61" s="67"/>
      <c r="Z61" s="67"/>
      <c r="AA61" s="67"/>
      <c r="AB61" s="67"/>
    </row>
    <row r="62" spans="1:112" x14ac:dyDescent="0.3">
      <c r="R62" s="67"/>
      <c r="S62" s="67"/>
      <c r="T62" s="67"/>
      <c r="U62" s="67"/>
      <c r="V62" s="67"/>
      <c r="W62" s="67"/>
      <c r="X62" s="67"/>
      <c r="Y62" s="67"/>
      <c r="Z62" s="67"/>
      <c r="AA62" s="67"/>
      <c r="AB62" s="67"/>
    </row>
    <row r="63" spans="1:112" x14ac:dyDescent="0.3">
      <c r="R63" s="67"/>
      <c r="S63" s="67"/>
      <c r="T63" s="67"/>
      <c r="U63" s="67"/>
      <c r="V63" s="67"/>
      <c r="W63" s="67"/>
      <c r="X63" s="67"/>
      <c r="Y63" s="67"/>
      <c r="Z63" s="67"/>
      <c r="AA63" s="67"/>
      <c r="AB63" s="67"/>
    </row>
    <row r="64" spans="1:112" x14ac:dyDescent="0.3">
      <c r="R64" s="67"/>
      <c r="S64" s="67"/>
      <c r="T64" s="67"/>
      <c r="U64" s="67"/>
      <c r="V64" s="67"/>
      <c r="W64" s="67"/>
      <c r="X64" s="67"/>
      <c r="Y64" s="67"/>
      <c r="Z64" s="67"/>
      <c r="AA64" s="67"/>
      <c r="AB64" s="67"/>
    </row>
    <row r="65" spans="1:28" x14ac:dyDescent="0.3">
      <c r="R65" s="67"/>
      <c r="S65" s="67"/>
      <c r="T65" s="67"/>
      <c r="U65" s="67"/>
      <c r="V65" s="67"/>
      <c r="W65" s="67"/>
      <c r="X65" s="67"/>
      <c r="Y65" s="67"/>
      <c r="Z65" s="67"/>
      <c r="AA65" s="67"/>
      <c r="AB65" s="67"/>
    </row>
    <row r="66" spans="1:28" x14ac:dyDescent="0.3">
      <c r="R66" s="67"/>
      <c r="S66" s="67"/>
      <c r="T66" s="67"/>
      <c r="U66" s="67"/>
      <c r="V66" s="67"/>
      <c r="W66" s="67"/>
      <c r="X66" s="67"/>
      <c r="Y66" s="67"/>
      <c r="Z66" s="67"/>
      <c r="AA66" s="67"/>
      <c r="AB66" s="67"/>
    </row>
    <row r="67" spans="1:28" x14ac:dyDescent="0.3">
      <c r="R67" s="67"/>
      <c r="S67" s="67"/>
      <c r="T67" s="67"/>
      <c r="U67" s="67"/>
      <c r="V67" s="67"/>
      <c r="W67" s="67"/>
      <c r="X67" s="67"/>
      <c r="Y67" s="67"/>
      <c r="Z67" s="67"/>
      <c r="AA67" s="67"/>
      <c r="AB67" s="67"/>
    </row>
    <row r="68" spans="1:28" x14ac:dyDescent="0.3">
      <c r="R68" s="67"/>
      <c r="S68" s="67"/>
      <c r="T68" s="67"/>
      <c r="U68" s="67"/>
      <c r="V68" s="67"/>
      <c r="W68" s="67"/>
      <c r="X68" s="67"/>
      <c r="Y68" s="67"/>
      <c r="Z68" s="67"/>
      <c r="AA68" s="67"/>
      <c r="AB68" s="67"/>
    </row>
    <row r="69" spans="1:28" x14ac:dyDescent="0.3">
      <c r="R69" s="67"/>
      <c r="S69" s="67"/>
      <c r="T69" s="67"/>
      <c r="U69" s="67"/>
      <c r="V69" s="67"/>
      <c r="W69" s="67"/>
      <c r="X69" s="67"/>
      <c r="Y69" s="67"/>
      <c r="Z69" s="67"/>
      <c r="AA69" s="67"/>
      <c r="AB69" s="67"/>
    </row>
    <row r="70" spans="1:28" x14ac:dyDescent="0.3">
      <c r="R70" s="67"/>
      <c r="S70" s="67"/>
      <c r="T70" s="67"/>
      <c r="U70" s="67"/>
      <c r="V70" s="67"/>
      <c r="W70" s="67"/>
      <c r="X70" s="67"/>
      <c r="Y70" s="67"/>
      <c r="Z70" s="67"/>
      <c r="AA70" s="67"/>
      <c r="AB70" s="67"/>
    </row>
    <row r="71" spans="1:28" x14ac:dyDescent="0.3">
      <c r="R71" s="67"/>
      <c r="S71" s="67"/>
      <c r="T71" s="67"/>
      <c r="U71" s="67"/>
      <c r="V71" s="67"/>
      <c r="W71" s="67"/>
      <c r="X71" s="67"/>
      <c r="Y71" s="67"/>
      <c r="Z71" s="67"/>
      <c r="AA71" s="67"/>
      <c r="AB71" s="67"/>
    </row>
    <row r="72" spans="1:28" ht="13.8" x14ac:dyDescent="0.25">
      <c r="A72" s="139"/>
      <c r="B72" s="67"/>
      <c r="C72" s="67"/>
      <c r="D72" s="67"/>
      <c r="E72" s="67"/>
      <c r="F72" s="67"/>
      <c r="G72" s="67"/>
      <c r="H72" s="67"/>
      <c r="I72" s="67"/>
      <c r="J72" s="67"/>
      <c r="K72" s="67"/>
      <c r="L72" s="67"/>
      <c r="M72" s="140"/>
      <c r="N72" s="140"/>
      <c r="O72" s="140"/>
      <c r="P72" s="67"/>
      <c r="Q72" s="67"/>
      <c r="R72" s="67"/>
      <c r="S72" s="67"/>
      <c r="T72" s="67"/>
      <c r="U72" s="67"/>
      <c r="V72" s="67"/>
      <c r="W72" s="67"/>
      <c r="X72" s="67"/>
      <c r="Y72" s="67"/>
      <c r="Z72" s="67"/>
      <c r="AA72" s="67"/>
      <c r="AB72" s="67"/>
    </row>
    <row r="73" spans="1:28" ht="13.8" x14ac:dyDescent="0.25">
      <c r="A73" s="139"/>
      <c r="B73" s="67"/>
      <c r="C73" s="67"/>
      <c r="D73" s="67"/>
      <c r="E73" s="67"/>
      <c r="F73" s="67"/>
      <c r="G73" s="67"/>
      <c r="H73" s="67"/>
      <c r="I73" s="67"/>
      <c r="J73" s="67"/>
      <c r="K73" s="67"/>
      <c r="L73" s="67"/>
      <c r="M73" s="140"/>
      <c r="N73" s="140"/>
      <c r="O73" s="140"/>
      <c r="P73" s="67"/>
      <c r="Q73" s="67"/>
      <c r="R73" s="67"/>
      <c r="S73" s="67"/>
      <c r="T73" s="67"/>
      <c r="U73" s="67"/>
      <c r="V73" s="67"/>
      <c r="W73" s="67"/>
      <c r="X73" s="67"/>
      <c r="Y73" s="67"/>
      <c r="Z73" s="67"/>
      <c r="AA73" s="67"/>
      <c r="AB73" s="67"/>
    </row>
    <row r="74" spans="1:28" ht="13.8" x14ac:dyDescent="0.25">
      <c r="A74" s="67"/>
      <c r="B74" s="67"/>
      <c r="C74" s="67"/>
      <c r="D74" s="67"/>
      <c r="E74" s="67"/>
      <c r="F74" s="67"/>
      <c r="G74" s="67"/>
      <c r="H74" s="67"/>
      <c r="I74" s="67"/>
      <c r="J74" s="67"/>
      <c r="K74" s="67"/>
      <c r="L74" s="67"/>
      <c r="M74" s="140"/>
      <c r="N74" s="140"/>
      <c r="O74" s="140"/>
      <c r="P74" s="67"/>
      <c r="Q74" s="67"/>
      <c r="R74" s="67"/>
      <c r="S74" s="67"/>
      <c r="T74" s="67"/>
      <c r="U74" s="67"/>
      <c r="V74" s="67"/>
      <c r="W74" s="67"/>
      <c r="X74" s="67"/>
      <c r="Y74" s="67"/>
      <c r="Z74" s="67"/>
      <c r="AA74" s="67"/>
      <c r="AB74" s="67"/>
    </row>
    <row r="75" spans="1:28" ht="13.8"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row>
    <row r="76" spans="1:28" ht="13.8"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row>
    <row r="77" spans="1:28" ht="13.8"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row>
    <row r="78" spans="1:28" ht="13.8"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row>
    <row r="79" spans="1:28" ht="13.8"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row>
    <row r="80" spans="1:28" ht="13.8" x14ac:dyDescent="0.25">
      <c r="F80" s="1"/>
      <c r="G80" s="1"/>
      <c r="H80" s="1"/>
      <c r="Q80" s="1"/>
      <c r="X80" s="1"/>
    </row>
    <row r="81" spans="6:24" ht="13.8" x14ac:dyDescent="0.25">
      <c r="F81" s="1"/>
      <c r="G81" s="1"/>
      <c r="H81" s="1"/>
      <c r="Q81" s="1"/>
      <c r="X81" s="1"/>
    </row>
    <row r="82" spans="6:24" ht="13.8" x14ac:dyDescent="0.25">
      <c r="F82" s="1"/>
      <c r="G82" s="1"/>
      <c r="H82" s="1"/>
      <c r="Q82" s="1"/>
      <c r="X82" s="1"/>
    </row>
    <row r="83" spans="6:24" ht="13.8" x14ac:dyDescent="0.25">
      <c r="F83" s="1"/>
      <c r="G83" s="1"/>
      <c r="H83" s="1"/>
      <c r="Q83" s="1"/>
      <c r="X83" s="1"/>
    </row>
    <row r="84" spans="6:24" ht="13.8" x14ac:dyDescent="0.25">
      <c r="F84" s="1"/>
      <c r="G84" s="1"/>
      <c r="H84" s="1"/>
      <c r="Q84" s="1"/>
      <c r="X84" s="1"/>
    </row>
    <row r="85" spans="6:24" ht="13.8" x14ac:dyDescent="0.25">
      <c r="F85" s="1"/>
      <c r="G85" s="1"/>
      <c r="H85" s="1"/>
      <c r="Q85" s="1"/>
      <c r="X85" s="1"/>
    </row>
    <row r="86" spans="6:24" ht="13.8" x14ac:dyDescent="0.25">
      <c r="F86" s="1"/>
      <c r="G86" s="1"/>
      <c r="H86" s="1"/>
      <c r="Q86" s="1"/>
      <c r="X86" s="1"/>
    </row>
    <row r="87" spans="6:24" ht="13.8" x14ac:dyDescent="0.25">
      <c r="F87" s="1"/>
      <c r="G87" s="1"/>
      <c r="H87" s="1"/>
      <c r="Q87" s="1"/>
      <c r="X87" s="1"/>
    </row>
    <row r="88" spans="6:24" ht="13.8" x14ac:dyDescent="0.25">
      <c r="F88" s="1"/>
      <c r="G88" s="1"/>
      <c r="H88" s="1"/>
      <c r="Q88" s="1"/>
      <c r="X88" s="1"/>
    </row>
    <row r="89" spans="6:24" ht="13.8" x14ac:dyDescent="0.25">
      <c r="F89" s="1"/>
      <c r="G89" s="1"/>
      <c r="H89" s="1"/>
      <c r="Q89" s="1"/>
      <c r="X89" s="1"/>
    </row>
    <row r="90" spans="6:24" ht="13.8" x14ac:dyDescent="0.25">
      <c r="F90" s="1"/>
      <c r="G90" s="1"/>
      <c r="H90" s="1"/>
      <c r="Q90" s="1"/>
      <c r="X90" s="1"/>
    </row>
    <row r="91" spans="6:24" ht="13.8" x14ac:dyDescent="0.25">
      <c r="F91" s="1"/>
      <c r="G91" s="1"/>
      <c r="H91" s="1"/>
      <c r="Q91" s="1"/>
      <c r="X91" s="1"/>
    </row>
    <row r="92" spans="6:24" ht="13.8" x14ac:dyDescent="0.25">
      <c r="F92" s="1"/>
      <c r="G92" s="1"/>
      <c r="H92" s="1"/>
      <c r="Q92" s="1"/>
      <c r="X92" s="1"/>
    </row>
    <row r="93" spans="6:24" ht="13.8" x14ac:dyDescent="0.25">
      <c r="F93" s="1"/>
      <c r="G93" s="1"/>
      <c r="H93" s="1"/>
      <c r="Q93" s="1"/>
      <c r="X93" s="1"/>
    </row>
    <row r="94" spans="6:24" ht="13.8" x14ac:dyDescent="0.25">
      <c r="F94" s="1"/>
      <c r="G94" s="1"/>
      <c r="H94" s="1"/>
      <c r="Q94" s="1"/>
      <c r="X94" s="1"/>
    </row>
    <row r="95" spans="6:24" ht="13.8" x14ac:dyDescent="0.25">
      <c r="F95" s="1"/>
      <c r="G95" s="1"/>
      <c r="H95" s="1"/>
      <c r="Q95" s="1"/>
      <c r="X95" s="1"/>
    </row>
    <row r="96" spans="6:24" ht="13.8" x14ac:dyDescent="0.25">
      <c r="F96" s="1"/>
      <c r="G96" s="1"/>
      <c r="H96" s="1"/>
      <c r="Q96" s="1"/>
      <c r="X96" s="1"/>
    </row>
    <row r="97" spans="6:24" ht="13.8" x14ac:dyDescent="0.25">
      <c r="F97" s="1"/>
      <c r="G97" s="1"/>
      <c r="H97" s="1"/>
      <c r="Q97" s="1"/>
      <c r="X97" s="1"/>
    </row>
    <row r="98" spans="6:24" ht="13.8" x14ac:dyDescent="0.25">
      <c r="F98" s="1"/>
      <c r="G98" s="1"/>
      <c r="H98" s="1"/>
      <c r="Q98" s="1"/>
      <c r="X98" s="1"/>
    </row>
    <row r="99" spans="6:24" ht="13.8" x14ac:dyDescent="0.25">
      <c r="F99" s="1"/>
      <c r="G99" s="1"/>
      <c r="H99" s="1"/>
      <c r="Q99" s="1"/>
      <c r="X99" s="1"/>
    </row>
    <row r="100" spans="6:24" ht="13.8" x14ac:dyDescent="0.25">
      <c r="F100" s="1"/>
      <c r="G100" s="1"/>
      <c r="H100" s="1"/>
      <c r="Q100" s="1"/>
      <c r="X100" s="1"/>
    </row>
    <row r="101" spans="6:24" ht="13.8" x14ac:dyDescent="0.25">
      <c r="F101" s="1"/>
      <c r="G101" s="1"/>
      <c r="H101" s="1"/>
      <c r="Q101" s="1"/>
      <c r="X101" s="1"/>
    </row>
    <row r="102" spans="6:24" ht="13.8" x14ac:dyDescent="0.25">
      <c r="F102" s="1"/>
      <c r="G102" s="1"/>
      <c r="H102" s="1"/>
      <c r="Q102" s="1"/>
      <c r="X102" s="1"/>
    </row>
    <row r="103" spans="6:24" ht="13.8" x14ac:dyDescent="0.25">
      <c r="F103" s="1"/>
      <c r="G103" s="1"/>
      <c r="H103" s="1"/>
      <c r="Q103" s="1"/>
      <c r="X103" s="1"/>
    </row>
    <row r="104" spans="6:24" ht="13.8" x14ac:dyDescent="0.25">
      <c r="F104" s="1"/>
      <c r="G104" s="1"/>
      <c r="H104" s="1"/>
      <c r="Q104" s="1"/>
      <c r="X104" s="1"/>
    </row>
    <row r="105" spans="6:24" ht="13.8" x14ac:dyDescent="0.25">
      <c r="F105" s="1"/>
      <c r="G105" s="1"/>
      <c r="H105" s="1"/>
      <c r="Q105" s="1"/>
      <c r="X105" s="1"/>
    </row>
    <row r="106" spans="6:24" ht="13.8" x14ac:dyDescent="0.25">
      <c r="F106" s="1"/>
      <c r="G106" s="1"/>
      <c r="H106" s="1"/>
      <c r="Q106" s="1"/>
      <c r="X106" s="1"/>
    </row>
    <row r="107" spans="6:24" ht="13.8" x14ac:dyDescent="0.25">
      <c r="F107" s="1"/>
      <c r="G107" s="1"/>
      <c r="H107" s="1"/>
      <c r="Q107" s="1"/>
      <c r="X107" s="1"/>
    </row>
    <row r="108" spans="6:24" ht="13.8" x14ac:dyDescent="0.25">
      <c r="F108" s="1"/>
      <c r="G108" s="1"/>
      <c r="H108" s="1"/>
      <c r="Q108" s="1"/>
      <c r="X108" s="1"/>
    </row>
    <row r="109" spans="6:24" ht="13.8" x14ac:dyDescent="0.25">
      <c r="F109" s="1"/>
      <c r="G109" s="1"/>
      <c r="H109" s="1"/>
      <c r="Q109" s="1"/>
      <c r="X109" s="1"/>
    </row>
    <row r="110" spans="6:24" ht="13.8" x14ac:dyDescent="0.25">
      <c r="F110" s="1"/>
      <c r="G110" s="1"/>
      <c r="H110" s="1"/>
      <c r="Q110" s="1"/>
      <c r="X110" s="1"/>
    </row>
    <row r="111" spans="6:24" ht="13.8" x14ac:dyDescent="0.25">
      <c r="F111" s="1"/>
      <c r="G111" s="1"/>
      <c r="H111" s="1"/>
      <c r="Q111" s="1"/>
      <c r="X111" s="1"/>
    </row>
    <row r="112" spans="6:24" ht="13.8" x14ac:dyDescent="0.25">
      <c r="F112" s="1"/>
      <c r="G112" s="1"/>
      <c r="H112" s="1"/>
      <c r="Q112" s="1"/>
      <c r="X112" s="1"/>
    </row>
    <row r="113" spans="6:24" ht="13.8" x14ac:dyDescent="0.25">
      <c r="F113" s="1"/>
      <c r="G113" s="1"/>
      <c r="H113" s="1"/>
      <c r="Q113" s="1"/>
      <c r="X113" s="1"/>
    </row>
    <row r="114" spans="6:24" ht="13.8" x14ac:dyDescent="0.25">
      <c r="F114" s="1"/>
      <c r="G114" s="1"/>
      <c r="H114" s="1"/>
      <c r="Q114" s="1"/>
      <c r="X114" s="1"/>
    </row>
    <row r="115" spans="6:24" ht="13.8" x14ac:dyDescent="0.25">
      <c r="F115" s="1"/>
      <c r="G115" s="1"/>
      <c r="H115" s="1"/>
      <c r="Q115" s="1"/>
      <c r="X115" s="1"/>
    </row>
    <row r="116" spans="6:24" ht="13.8" x14ac:dyDescent="0.25">
      <c r="F116" s="1"/>
      <c r="G116" s="1"/>
      <c r="H116" s="1"/>
      <c r="Q116" s="1"/>
      <c r="X116" s="1"/>
    </row>
    <row r="117" spans="6:24" ht="13.8" x14ac:dyDescent="0.25">
      <c r="F117" s="1"/>
      <c r="G117" s="1"/>
      <c r="H117" s="1"/>
      <c r="Q117" s="1"/>
      <c r="X117" s="1"/>
    </row>
    <row r="118" spans="6:24" ht="13.8" x14ac:dyDescent="0.25">
      <c r="F118" s="1"/>
      <c r="G118" s="1"/>
      <c r="H118" s="1"/>
      <c r="Q118" s="1"/>
      <c r="X118" s="1"/>
    </row>
    <row r="119" spans="6:24" ht="13.8" x14ac:dyDescent="0.25">
      <c r="F119" s="1"/>
      <c r="G119" s="1"/>
      <c r="H119" s="1"/>
      <c r="Q119" s="1"/>
      <c r="X119" s="1"/>
    </row>
    <row r="120" spans="6:24" ht="13.8" x14ac:dyDescent="0.25">
      <c r="F120" s="1"/>
      <c r="G120" s="1"/>
      <c r="H120" s="1"/>
      <c r="Q120" s="1"/>
      <c r="X120" s="1"/>
    </row>
    <row r="121" spans="6:24" ht="13.8" x14ac:dyDescent="0.25">
      <c r="F121" s="1"/>
      <c r="G121" s="1"/>
      <c r="H121" s="1"/>
      <c r="Q121" s="1"/>
      <c r="X121" s="1"/>
    </row>
    <row r="122" spans="6:24" ht="13.8" x14ac:dyDescent="0.25">
      <c r="F122" s="1"/>
      <c r="G122" s="1"/>
      <c r="H122" s="1"/>
      <c r="Q122" s="1"/>
      <c r="X122" s="1"/>
    </row>
    <row r="123" spans="6:24" ht="13.8" x14ac:dyDescent="0.25">
      <c r="F123" s="1"/>
      <c r="G123" s="1"/>
      <c r="H123" s="1"/>
      <c r="Q123" s="1"/>
      <c r="X123" s="1"/>
    </row>
    <row r="124" spans="6:24" ht="13.8" x14ac:dyDescent="0.25">
      <c r="F124" s="1"/>
      <c r="G124" s="1"/>
      <c r="H124" s="1"/>
      <c r="Q124" s="1"/>
      <c r="X124" s="1"/>
    </row>
    <row r="125" spans="6:24" ht="13.8" x14ac:dyDescent="0.25">
      <c r="F125" s="1"/>
      <c r="G125" s="1"/>
      <c r="H125" s="1"/>
      <c r="Q125" s="1"/>
      <c r="X125" s="1"/>
    </row>
    <row r="126" spans="6:24" ht="13.8" x14ac:dyDescent="0.25">
      <c r="F126" s="1"/>
      <c r="G126" s="1"/>
      <c r="H126" s="1"/>
      <c r="Q126" s="1"/>
      <c r="X126" s="1"/>
    </row>
    <row r="127" spans="6:24" ht="13.8" x14ac:dyDescent="0.25">
      <c r="F127" s="1"/>
      <c r="G127" s="1"/>
      <c r="H127" s="1"/>
      <c r="Q127" s="1"/>
      <c r="X127" s="1"/>
    </row>
    <row r="128" spans="6:24" ht="13.8" x14ac:dyDescent="0.25">
      <c r="F128" s="1"/>
      <c r="G128" s="1"/>
      <c r="H128" s="1"/>
      <c r="Q128" s="1"/>
      <c r="X128" s="1"/>
    </row>
    <row r="129" spans="6:24" ht="13.8" x14ac:dyDescent="0.25">
      <c r="F129" s="1"/>
      <c r="G129" s="1"/>
      <c r="H129" s="1"/>
      <c r="Q129" s="1"/>
      <c r="X129" s="1"/>
    </row>
    <row r="130" spans="6:24" ht="13.8" x14ac:dyDescent="0.25">
      <c r="F130" s="1"/>
      <c r="G130" s="1"/>
      <c r="H130" s="1"/>
      <c r="Q130" s="1"/>
      <c r="X130" s="1"/>
    </row>
    <row r="131" spans="6:24" ht="13.8" x14ac:dyDescent="0.25">
      <c r="F131" s="1"/>
      <c r="G131" s="1"/>
      <c r="H131" s="1"/>
      <c r="Q131" s="1"/>
      <c r="X131" s="1"/>
    </row>
    <row r="132" spans="6:24" ht="13.8" x14ac:dyDescent="0.25">
      <c r="F132" s="1"/>
      <c r="G132" s="1"/>
      <c r="H132" s="1"/>
      <c r="Q132" s="1"/>
      <c r="X132" s="1"/>
    </row>
    <row r="133" spans="6:24" ht="13.8" x14ac:dyDescent="0.25">
      <c r="F133" s="1"/>
      <c r="G133" s="1"/>
      <c r="H133" s="1"/>
      <c r="Q133" s="1"/>
      <c r="X133" s="1"/>
    </row>
    <row r="134" spans="6:24" ht="13.8" x14ac:dyDescent="0.25">
      <c r="F134" s="1"/>
      <c r="G134" s="1"/>
      <c r="H134" s="1"/>
      <c r="Q134" s="1"/>
      <c r="X134" s="1"/>
    </row>
    <row r="135" spans="6:24" ht="13.8" x14ac:dyDescent="0.25">
      <c r="F135" s="1"/>
      <c r="G135" s="1"/>
      <c r="H135" s="1"/>
      <c r="Q135" s="1"/>
      <c r="X135" s="1"/>
    </row>
    <row r="136" spans="6:24" ht="13.8" x14ac:dyDescent="0.25">
      <c r="F136" s="1"/>
      <c r="G136" s="1"/>
      <c r="H136" s="1"/>
      <c r="Q136" s="1"/>
      <c r="X136" s="1"/>
    </row>
    <row r="137" spans="6:24" ht="13.8" x14ac:dyDescent="0.25">
      <c r="F137" s="1"/>
      <c r="G137" s="1"/>
      <c r="H137" s="1"/>
      <c r="Q137" s="1"/>
      <c r="X137" s="1"/>
    </row>
    <row r="138" spans="6:24" ht="13.8" x14ac:dyDescent="0.25">
      <c r="F138" s="1"/>
      <c r="G138" s="1"/>
      <c r="H138" s="1"/>
      <c r="Q138" s="1"/>
      <c r="X138" s="1"/>
    </row>
    <row r="139" spans="6:24" ht="13.8" x14ac:dyDescent="0.25">
      <c r="F139" s="1"/>
      <c r="G139" s="1"/>
      <c r="H139" s="1"/>
      <c r="Q139" s="1"/>
      <c r="X139" s="1"/>
    </row>
    <row r="140" spans="6:24" ht="13.8" x14ac:dyDescent="0.25">
      <c r="F140" s="1"/>
      <c r="G140" s="1"/>
      <c r="H140" s="1"/>
      <c r="Q140" s="1"/>
      <c r="X140" s="1"/>
    </row>
    <row r="141" spans="6:24" ht="13.8" x14ac:dyDescent="0.25">
      <c r="F141" s="1"/>
      <c r="G141" s="1"/>
      <c r="H141" s="1"/>
      <c r="Q141" s="1"/>
      <c r="X141" s="1"/>
    </row>
    <row r="142" spans="6:24" ht="13.8" x14ac:dyDescent="0.25">
      <c r="F142" s="1"/>
      <c r="G142" s="1"/>
      <c r="H142" s="1"/>
      <c r="Q142" s="1"/>
      <c r="X142" s="1"/>
    </row>
    <row r="143" spans="6:24" ht="13.8" x14ac:dyDescent="0.25">
      <c r="F143" s="1"/>
      <c r="G143" s="1"/>
      <c r="H143" s="1"/>
      <c r="Q143" s="1"/>
      <c r="X143" s="1"/>
    </row>
    <row r="144" spans="6:24" ht="13.8" x14ac:dyDescent="0.25">
      <c r="F144" s="1"/>
      <c r="G144" s="1"/>
      <c r="H144" s="1"/>
      <c r="Q144" s="1"/>
      <c r="X144" s="1"/>
    </row>
    <row r="145" spans="6:24" ht="13.8" x14ac:dyDescent="0.25">
      <c r="F145" s="1"/>
      <c r="G145" s="1"/>
      <c r="H145" s="1"/>
      <c r="Q145" s="1"/>
      <c r="X145" s="1"/>
    </row>
    <row r="146" spans="6:24" ht="13.8" x14ac:dyDescent="0.25">
      <c r="F146" s="1"/>
      <c r="G146" s="1"/>
      <c r="H146" s="1"/>
      <c r="Q146" s="1"/>
      <c r="X146" s="1"/>
    </row>
    <row r="147" spans="6:24" ht="13.8" x14ac:dyDescent="0.25">
      <c r="F147" s="1"/>
      <c r="G147" s="1"/>
      <c r="H147" s="1"/>
      <c r="Q147" s="1"/>
      <c r="X147" s="1"/>
    </row>
    <row r="148" spans="6:24" ht="13.8" x14ac:dyDescent="0.25">
      <c r="F148" s="1"/>
      <c r="G148" s="1"/>
      <c r="H148" s="1"/>
      <c r="Q148" s="1"/>
      <c r="X148" s="1"/>
    </row>
    <row r="149" spans="6:24" ht="13.8" x14ac:dyDescent="0.25">
      <c r="F149" s="1"/>
      <c r="G149" s="1"/>
      <c r="H149" s="1"/>
      <c r="Q149" s="1"/>
      <c r="X149" s="1"/>
    </row>
    <row r="150" spans="6:24" ht="13.8" x14ac:dyDescent="0.25">
      <c r="F150" s="1"/>
      <c r="G150" s="1"/>
      <c r="H150" s="1"/>
      <c r="Q150" s="1"/>
      <c r="X150" s="1"/>
    </row>
    <row r="151" spans="6:24" ht="13.8" x14ac:dyDescent="0.25">
      <c r="F151" s="1"/>
      <c r="G151" s="1"/>
      <c r="H151" s="1"/>
      <c r="Q151" s="1"/>
      <c r="X151" s="1"/>
    </row>
    <row r="152" spans="6:24" ht="13.8" x14ac:dyDescent="0.25">
      <c r="F152" s="1"/>
      <c r="G152" s="1"/>
      <c r="H152" s="1"/>
      <c r="Q152" s="1"/>
      <c r="X152" s="1"/>
    </row>
    <row r="153" spans="6:24" ht="13.8" x14ac:dyDescent="0.25">
      <c r="F153" s="1"/>
      <c r="G153" s="1"/>
      <c r="H153" s="1"/>
      <c r="Q153" s="1"/>
      <c r="X153" s="1"/>
    </row>
    <row r="154" spans="6:24" ht="13.8" x14ac:dyDescent="0.25">
      <c r="F154" s="1"/>
      <c r="G154" s="1"/>
      <c r="H154" s="1"/>
      <c r="Q154" s="1"/>
      <c r="X154" s="1"/>
    </row>
    <row r="155" spans="6:24" ht="13.8" x14ac:dyDescent="0.25">
      <c r="F155" s="1"/>
      <c r="G155" s="1"/>
      <c r="H155" s="1"/>
      <c r="Q155" s="1"/>
      <c r="X155" s="1"/>
    </row>
    <row r="156" spans="6:24" ht="13.8" x14ac:dyDescent="0.25">
      <c r="F156" s="1"/>
      <c r="G156" s="1"/>
      <c r="H156" s="1"/>
      <c r="Q156" s="1"/>
      <c r="X156" s="1"/>
    </row>
    <row r="157" spans="6:24" ht="13.8" x14ac:dyDescent="0.25">
      <c r="F157" s="1"/>
      <c r="G157" s="1"/>
      <c r="H157" s="1"/>
      <c r="Q157" s="1"/>
      <c r="X157" s="1"/>
    </row>
    <row r="158" spans="6:24" ht="13.8" x14ac:dyDescent="0.25">
      <c r="F158" s="1"/>
      <c r="G158" s="1"/>
      <c r="H158" s="1"/>
      <c r="Q158" s="1"/>
      <c r="X158" s="1"/>
    </row>
    <row r="159" spans="6:24" ht="13.8" x14ac:dyDescent="0.25">
      <c r="F159" s="1"/>
      <c r="G159" s="1"/>
      <c r="H159" s="1"/>
      <c r="Q159" s="1"/>
      <c r="X159" s="1"/>
    </row>
    <row r="160" spans="6:24" ht="13.8" x14ac:dyDescent="0.25">
      <c r="F160" s="1"/>
      <c r="G160" s="1"/>
      <c r="H160" s="1"/>
      <c r="Q160" s="1"/>
      <c r="X160" s="1"/>
    </row>
    <row r="161" spans="6:24" ht="13.8" x14ac:dyDescent="0.25">
      <c r="F161" s="1"/>
      <c r="G161" s="1"/>
      <c r="H161" s="1"/>
      <c r="Q161" s="1"/>
      <c r="X161" s="1"/>
    </row>
    <row r="162" spans="6:24" ht="13.8" x14ac:dyDescent="0.25">
      <c r="F162" s="1"/>
      <c r="G162" s="1"/>
      <c r="H162" s="1"/>
      <c r="Q162" s="1"/>
      <c r="X162" s="1"/>
    </row>
    <row r="163" spans="6:24" ht="13.8" x14ac:dyDescent="0.25">
      <c r="F163" s="1"/>
      <c r="G163" s="1"/>
      <c r="H163" s="1"/>
      <c r="Q163" s="1"/>
      <c r="X163" s="1"/>
    </row>
    <row r="164" spans="6:24" ht="13.8" x14ac:dyDescent="0.25">
      <c r="F164" s="1"/>
      <c r="G164" s="1"/>
      <c r="H164" s="1"/>
      <c r="Q164" s="1"/>
      <c r="X164" s="1"/>
    </row>
    <row r="165" spans="6:24" ht="13.8" x14ac:dyDescent="0.25">
      <c r="F165" s="1"/>
      <c r="G165" s="1"/>
      <c r="H165" s="1"/>
      <c r="Q165" s="1"/>
      <c r="X165" s="1"/>
    </row>
    <row r="166" spans="6:24" ht="13.8" x14ac:dyDescent="0.25">
      <c r="F166" s="1"/>
      <c r="G166" s="1"/>
      <c r="H166" s="1"/>
      <c r="Q166" s="1"/>
      <c r="X166" s="1"/>
    </row>
    <row r="167" spans="6:24" ht="13.8" x14ac:dyDescent="0.25">
      <c r="F167" s="1"/>
      <c r="G167" s="1"/>
      <c r="H167" s="1"/>
      <c r="Q167" s="1"/>
      <c r="X167" s="1"/>
    </row>
    <row r="168" spans="6:24" ht="13.8" x14ac:dyDescent="0.25">
      <c r="F168" s="1"/>
      <c r="G168" s="1"/>
      <c r="H168" s="1"/>
      <c r="Q168" s="1"/>
      <c r="X168" s="1"/>
    </row>
    <row r="169" spans="6:24" ht="13.8" x14ac:dyDescent="0.25">
      <c r="F169" s="1"/>
      <c r="G169" s="1"/>
      <c r="H169" s="1"/>
      <c r="Q169" s="1"/>
      <c r="X169" s="1"/>
    </row>
    <row r="170" spans="6:24" ht="13.8" x14ac:dyDescent="0.25">
      <c r="F170" s="1"/>
      <c r="G170" s="1"/>
      <c r="H170" s="1"/>
      <c r="Q170" s="1"/>
      <c r="X170" s="1"/>
    </row>
    <row r="171" spans="6:24" ht="13.8" x14ac:dyDescent="0.25">
      <c r="F171" s="1"/>
      <c r="G171" s="1"/>
      <c r="H171" s="1"/>
      <c r="Q171" s="1"/>
      <c r="X171" s="1"/>
    </row>
    <row r="172" spans="6:24" ht="13.8" x14ac:dyDescent="0.25">
      <c r="F172" s="1"/>
      <c r="G172" s="1"/>
      <c r="H172" s="1"/>
      <c r="Q172" s="1"/>
      <c r="X172" s="1"/>
    </row>
    <row r="173" spans="6:24" ht="13.8" x14ac:dyDescent="0.25">
      <c r="F173" s="1"/>
      <c r="G173" s="1"/>
      <c r="H173" s="1"/>
      <c r="Q173" s="1"/>
      <c r="X173" s="1"/>
    </row>
    <row r="174" spans="6:24" ht="13.8" x14ac:dyDescent="0.25">
      <c r="F174" s="1"/>
      <c r="G174" s="1"/>
      <c r="H174" s="1"/>
      <c r="Q174" s="1"/>
      <c r="X174" s="1"/>
    </row>
    <row r="175" spans="6:24" ht="13.8" x14ac:dyDescent="0.25">
      <c r="F175" s="1"/>
      <c r="G175" s="1"/>
      <c r="H175" s="1"/>
      <c r="Q175" s="1"/>
      <c r="X175" s="1"/>
    </row>
    <row r="176" spans="6:24" ht="13.8" x14ac:dyDescent="0.25">
      <c r="F176" s="1"/>
      <c r="G176" s="1"/>
      <c r="H176" s="1"/>
      <c r="Q176" s="1"/>
      <c r="X176" s="1"/>
    </row>
  </sheetData>
  <sheetProtection algorithmName="SHA-512" hashValue="bJ60Ua1i/Snm/YnqlrI4ERm+macqUpLeUN2ik7zL2BzvRREuyk/+0/G+R6EWQ8VzfSXwrjBIG2HmL9/LaSwL8w==" saltValue="JDOFShEYJ/E73DqWyEC1TA==" spinCount="100000" sheet="1" objects="1" scenarios="1"/>
  <sortState xmlns:xlrd2="http://schemas.microsoft.com/office/spreadsheetml/2017/richdata2" ref="AV7:AW27">
    <sortCondition ref="AV6:AV27"/>
  </sortState>
  <dataConsolidate/>
  <mergeCells count="82">
    <mergeCell ref="AY30:AZ30"/>
    <mergeCell ref="AW26:AZ26"/>
    <mergeCell ref="AW27:AZ27"/>
    <mergeCell ref="AY28:AZ28"/>
    <mergeCell ref="AY29:AZ29"/>
    <mergeCell ref="A13:B13"/>
    <mergeCell ref="BK8:BK9"/>
    <mergeCell ref="AB14:AC14"/>
    <mergeCell ref="C12:F12"/>
    <mergeCell ref="AO26:AP26"/>
    <mergeCell ref="AB13:AC13"/>
    <mergeCell ref="S13:U13"/>
    <mergeCell ref="AO19:AP19"/>
    <mergeCell ref="AO17:AP17"/>
    <mergeCell ref="AO18:AP18"/>
    <mergeCell ref="AO16:AP16"/>
    <mergeCell ref="AB15:AC15"/>
    <mergeCell ref="AO10:AP10"/>
    <mergeCell ref="AO11:AP11"/>
    <mergeCell ref="AO12:AP12"/>
    <mergeCell ref="AQ8:AQ9"/>
    <mergeCell ref="BW24:BX24"/>
    <mergeCell ref="BS23:BT23"/>
    <mergeCell ref="BU23:BV23"/>
    <mergeCell ref="BS24:BT24"/>
    <mergeCell ref="BL23:BL24"/>
    <mergeCell ref="BM23:BP23"/>
    <mergeCell ref="BQ23:BR23"/>
    <mergeCell ref="BM24:BP24"/>
    <mergeCell ref="BQ24:BR24"/>
    <mergeCell ref="C8:F9"/>
    <mergeCell ref="X8:X9"/>
    <mergeCell ref="AO14:AP14"/>
    <mergeCell ref="BU24:BV24"/>
    <mergeCell ref="AO22:AP22"/>
    <mergeCell ref="AB16:AC16"/>
    <mergeCell ref="AO15:AP15"/>
    <mergeCell ref="AB10:AC10"/>
    <mergeCell ref="AO13:AP13"/>
    <mergeCell ref="AB17:AC17"/>
    <mergeCell ref="S10:U10"/>
    <mergeCell ref="AO20:AP20"/>
    <mergeCell ref="AO21:AP21"/>
    <mergeCell ref="AO23:AP23"/>
    <mergeCell ref="AO24:AP24"/>
    <mergeCell ref="A8:B9"/>
    <mergeCell ref="AB4:AC4"/>
    <mergeCell ref="AB12:AC12"/>
    <mergeCell ref="AB5:AC5"/>
    <mergeCell ref="H6:I6"/>
    <mergeCell ref="Y8:Y9"/>
    <mergeCell ref="Z8:Z9"/>
    <mergeCell ref="AA8:AA9"/>
    <mergeCell ref="AB6:AC6"/>
    <mergeCell ref="AB7:AC7"/>
    <mergeCell ref="AB8:AC9"/>
    <mergeCell ref="AB11:AC11"/>
    <mergeCell ref="C5:F5"/>
    <mergeCell ref="C6:F6"/>
    <mergeCell ref="C7:F7"/>
    <mergeCell ref="C11:F11"/>
    <mergeCell ref="Y1:AB2"/>
    <mergeCell ref="S8:U9"/>
    <mergeCell ref="AO3:AP3"/>
    <mergeCell ref="AO5:AP5"/>
    <mergeCell ref="AO6:AP6"/>
    <mergeCell ref="AO7:AT7"/>
    <mergeCell ref="AO8:AP9"/>
    <mergeCell ref="AR8:AR9"/>
    <mergeCell ref="AS8:AS9"/>
    <mergeCell ref="AT8:AT9"/>
    <mergeCell ref="AR5:AT5"/>
    <mergeCell ref="AO28:AP28"/>
    <mergeCell ref="S6:T6"/>
    <mergeCell ref="AO27:AP27"/>
    <mergeCell ref="AO25:AP25"/>
    <mergeCell ref="J6:K6"/>
    <mergeCell ref="AU28:AV28"/>
    <mergeCell ref="AU29:AV29"/>
    <mergeCell ref="AU30:AV30"/>
    <mergeCell ref="S5:T5"/>
    <mergeCell ref="AO29:AP30"/>
  </mergeCells>
  <phoneticPr fontId="24" type="noConversion"/>
  <conditionalFormatting sqref="M17">
    <cfRule type="expression" dxfId="9" priority="43">
      <formula>$BT$10&lt;&gt;3</formula>
    </cfRule>
  </conditionalFormatting>
  <conditionalFormatting sqref="X11:AC11">
    <cfRule type="expression" dxfId="8" priority="1">
      <formula>$CR$11=2</formula>
    </cfRule>
  </conditionalFormatting>
  <conditionalFormatting sqref="AO23">
    <cfRule type="expression" dxfId="7" priority="6">
      <formula>(SUM(AB14:AC17)*-1)&gt;(AB12+D14)</formula>
    </cfRule>
  </conditionalFormatting>
  <conditionalFormatting sqref="AQ31:AT31">
    <cfRule type="expression" dxfId="6" priority="44">
      <formula>CR40=4</formula>
    </cfRule>
    <cfRule type="expression" dxfId="5" priority="45">
      <formula>CR40=3</formula>
    </cfRule>
    <cfRule type="expression" dxfId="4" priority="46">
      <formula>CR40=2</formula>
    </cfRule>
    <cfRule type="expression" dxfId="3" priority="47">
      <formula>CR40=1</formula>
    </cfRule>
  </conditionalFormatting>
  <conditionalFormatting sqref="AQ31:AT34">
    <cfRule type="cellIs" dxfId="2" priority="7" operator="equal">
      <formula>"-"</formula>
    </cfRule>
  </conditionalFormatting>
  <conditionalFormatting sqref="AW30:AY30">
    <cfRule type="cellIs" dxfId="0" priority="4" operator="equal">
      <formula>"-"</formula>
    </cfRule>
  </conditionalFormatting>
  <dataValidations count="6">
    <dataValidation type="textLength" allowBlank="1" showInputMessage="1" showErrorMessage="1" error="Geben Sie bitte ein gültige Betriebsnummer ein" sqref="C5" xr:uid="{5283B86E-5195-468F-8478-D43E33F02F1C}">
      <formula1>10</formula1>
      <formula2>12</formula2>
    </dataValidation>
    <dataValidation type="whole" operator="greaterThan" allowBlank="1" showInputMessage="1" showErrorMessage="1" sqref="J6 B17" xr:uid="{A198ACF2-F2AD-405B-914B-E210B1AEEAAA}">
      <formula1>0</formula1>
    </dataValidation>
    <dataValidation type="date" allowBlank="1" showInputMessage="1" showErrorMessage="1" errorTitle="Ungültige Eingabe" error="Eingaben sind zwischen dem 15. Januar und 31. August möglich. " sqref="Y14" xr:uid="{30B9CD36-AFDA-40BB-B796-776BC6EF6086}">
      <formula1>CJ14</formula1>
      <formula2>CK14</formula2>
    </dataValidation>
    <dataValidation type="date" allowBlank="1" showInputMessage="1" showErrorMessage="1" errorTitle="Ungültige Eingabe" error="Eingaben sind zwischen dem 15. Januar und 31. August möglich. " sqref="Y15" xr:uid="{90333B0B-E4BA-4254-8523-899CA3E29526}">
      <formula1>CJ14</formula1>
      <formula2>CK14</formula2>
    </dataValidation>
    <dataValidation type="whole" operator="greaterThanOrEqual" allowBlank="1" showInputMessage="1" showErrorMessage="1" sqref="D13" xr:uid="{8D92B067-E2EA-44C4-B470-F37D64D50FD1}">
      <formula1>0</formula1>
    </dataValidation>
    <dataValidation type="date" allowBlank="1" showInputMessage="1" showErrorMessage="1" errorTitle="Ungültige Eingabe" error="Herbstdüngegaben können zwischen dem 22.06. und 01.12. des Vorjahres angegeben werden." sqref="Y10:Y11" xr:uid="{69FB228D-6387-4718-B1FD-287D4ABFB273}">
      <formula1>CJ10</formula1>
      <formula2>CK10</formula2>
    </dataValidation>
  </dataValidations>
  <pageMargins left="0.39370078740157483" right="0.31496062992125984" top="0.51181102362204722" bottom="0.51181102362204722" header="0.31496062992125984" footer="0.31496062992125984"/>
  <pageSetup paperSize="9" scale="74" pageOrder="overThenDown" orientation="landscape" r:id="rId1"/>
  <rowBreaks count="1" manualBreakCount="1">
    <brk id="35" max="795" man="1"/>
  </rowBreaks>
  <colBreaks count="2" manualBreakCount="2">
    <brk id="30" max="34" man="1"/>
    <brk id="199" max="34" man="1"/>
  </colBreaks>
  <ignoredErrors>
    <ignoredError sqref="Q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5" r:id="rId4" name="Drop Down 11">
              <controlPr defaultSize="0" autoLine="0" autoPict="0">
                <anchor moveWithCells="1">
                  <from>
                    <xdr:col>9</xdr:col>
                    <xdr:colOff>0</xdr:colOff>
                    <xdr:row>3</xdr:row>
                    <xdr:rowOff>243840</xdr:rowOff>
                  </from>
                  <to>
                    <xdr:col>13</xdr:col>
                    <xdr:colOff>99060</xdr:colOff>
                    <xdr:row>4</xdr:row>
                    <xdr:rowOff>198120</xdr:rowOff>
                  </to>
                </anchor>
              </controlPr>
            </control>
          </mc:Choice>
        </mc:AlternateContent>
        <mc:AlternateContent xmlns:mc="http://schemas.openxmlformats.org/markup-compatibility/2006">
          <mc:Choice Requires="x14">
            <control shapeId="1036" r:id="rId5" name="Drop Down 12">
              <controlPr defaultSize="0" autoLine="0" autoPict="0">
                <anchor moveWithCells="1">
                  <from>
                    <xdr:col>9</xdr:col>
                    <xdr:colOff>15240</xdr:colOff>
                    <xdr:row>13</xdr:row>
                    <xdr:rowOff>0</xdr:rowOff>
                  </from>
                  <to>
                    <xdr:col>16</xdr:col>
                    <xdr:colOff>53340</xdr:colOff>
                    <xdr:row>13</xdr:row>
                    <xdr:rowOff>213360</xdr:rowOff>
                  </to>
                </anchor>
              </controlPr>
            </control>
          </mc:Choice>
        </mc:AlternateContent>
        <mc:AlternateContent xmlns:mc="http://schemas.openxmlformats.org/markup-compatibility/2006">
          <mc:Choice Requires="x14">
            <control shapeId="1037" r:id="rId6" name="Drop Down 13">
              <controlPr defaultSize="0" autoLine="0" autoPict="0">
                <anchor moveWithCells="1">
                  <from>
                    <xdr:col>0</xdr:col>
                    <xdr:colOff>22860</xdr:colOff>
                    <xdr:row>14</xdr:row>
                    <xdr:rowOff>228600</xdr:rowOff>
                  </from>
                  <to>
                    <xdr:col>3</xdr:col>
                    <xdr:colOff>198120</xdr:colOff>
                    <xdr:row>15</xdr:row>
                    <xdr:rowOff>175260</xdr:rowOff>
                  </to>
                </anchor>
              </controlPr>
            </control>
          </mc:Choice>
        </mc:AlternateContent>
        <mc:AlternateContent xmlns:mc="http://schemas.openxmlformats.org/markup-compatibility/2006">
          <mc:Choice Requires="x14">
            <control shapeId="1038" r:id="rId7" name="Drop Down 14">
              <controlPr defaultSize="0" autoLine="0" autoPict="0">
                <anchor moveWithCells="1">
                  <from>
                    <xdr:col>9</xdr:col>
                    <xdr:colOff>22860</xdr:colOff>
                    <xdr:row>13</xdr:row>
                    <xdr:rowOff>251460</xdr:rowOff>
                  </from>
                  <to>
                    <xdr:col>16</xdr:col>
                    <xdr:colOff>60960</xdr:colOff>
                    <xdr:row>14</xdr:row>
                    <xdr:rowOff>213360</xdr:rowOff>
                  </to>
                </anchor>
              </controlPr>
            </control>
          </mc:Choice>
        </mc:AlternateContent>
        <mc:AlternateContent xmlns:mc="http://schemas.openxmlformats.org/markup-compatibility/2006">
          <mc:Choice Requires="x14">
            <control shapeId="1039" r:id="rId8" name="Drop Down 15">
              <controlPr defaultSize="0" autoLine="0" autoPict="0">
                <anchor moveWithCells="1">
                  <from>
                    <xdr:col>4</xdr:col>
                    <xdr:colOff>7620</xdr:colOff>
                    <xdr:row>12</xdr:row>
                    <xdr:rowOff>22860</xdr:rowOff>
                  </from>
                  <to>
                    <xdr:col>5</xdr:col>
                    <xdr:colOff>365760</xdr:colOff>
                    <xdr:row>12</xdr:row>
                    <xdr:rowOff>228600</xdr:rowOff>
                  </to>
                </anchor>
              </controlPr>
            </control>
          </mc:Choice>
        </mc:AlternateContent>
        <mc:AlternateContent xmlns:mc="http://schemas.openxmlformats.org/markup-compatibility/2006">
          <mc:Choice Requires="x14">
            <control shapeId="1040" r:id="rId9" name="Drop Down 16">
              <controlPr defaultSize="0" autoLine="0" autoPict="0">
                <anchor moveWithCells="1">
                  <from>
                    <xdr:col>20</xdr:col>
                    <xdr:colOff>243840</xdr:colOff>
                    <xdr:row>13</xdr:row>
                    <xdr:rowOff>15240</xdr:rowOff>
                  </from>
                  <to>
                    <xdr:col>22</xdr:col>
                    <xdr:colOff>586740</xdr:colOff>
                    <xdr:row>13</xdr:row>
                    <xdr:rowOff>228600</xdr:rowOff>
                  </to>
                </anchor>
              </controlPr>
            </control>
          </mc:Choice>
        </mc:AlternateContent>
        <mc:AlternateContent xmlns:mc="http://schemas.openxmlformats.org/markup-compatibility/2006">
          <mc:Choice Requires="x14">
            <control shapeId="1041" r:id="rId10" name="Drop Down 17">
              <controlPr defaultSize="0" autoLine="0" autoPict="0">
                <anchor moveWithCells="1">
                  <from>
                    <xdr:col>20</xdr:col>
                    <xdr:colOff>243840</xdr:colOff>
                    <xdr:row>14</xdr:row>
                    <xdr:rowOff>22860</xdr:rowOff>
                  </from>
                  <to>
                    <xdr:col>22</xdr:col>
                    <xdr:colOff>586740</xdr:colOff>
                    <xdr:row>14</xdr:row>
                    <xdr:rowOff>228600</xdr:rowOff>
                  </to>
                </anchor>
              </controlPr>
            </control>
          </mc:Choice>
        </mc:AlternateContent>
        <mc:AlternateContent xmlns:mc="http://schemas.openxmlformats.org/markup-compatibility/2006">
          <mc:Choice Requires="x14">
            <control shapeId="1071" r:id="rId11" name="Drop Down 47">
              <controlPr defaultSize="0" autoLine="0" autoPict="0">
                <anchor moveWithCells="1">
                  <from>
                    <xdr:col>21</xdr:col>
                    <xdr:colOff>45720</xdr:colOff>
                    <xdr:row>10</xdr:row>
                    <xdr:rowOff>22860</xdr:rowOff>
                  </from>
                  <to>
                    <xdr:col>22</xdr:col>
                    <xdr:colOff>632460</xdr:colOff>
                    <xdr:row>10</xdr:row>
                    <xdr:rowOff>228600</xdr:rowOff>
                  </to>
                </anchor>
              </controlPr>
            </control>
          </mc:Choice>
        </mc:AlternateContent>
        <mc:AlternateContent xmlns:mc="http://schemas.openxmlformats.org/markup-compatibility/2006">
          <mc:Choice Requires="x14">
            <control shapeId="1072" r:id="rId12" name="Drop Down 48">
              <controlPr defaultSize="0" autoLine="0" autoPict="0">
                <anchor moveWithCells="1">
                  <from>
                    <xdr:col>21</xdr:col>
                    <xdr:colOff>38100</xdr:colOff>
                    <xdr:row>9</xdr:row>
                    <xdr:rowOff>15240</xdr:rowOff>
                  </from>
                  <to>
                    <xdr:col>22</xdr:col>
                    <xdr:colOff>632460</xdr:colOff>
                    <xdr:row>9</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8" id="{4FD95208-5BB6-4441-B64F-632EF5EC0601}">
            <xm:f>INDEX(Hauptfrüchte!$BJ$6:$BJ$46,$BP$7)=1</xm:f>
            <x14:dxf>
              <fill>
                <patternFill>
                  <bgColor theme="4" tint="0.79998168889431442"/>
                </patternFill>
              </fill>
            </x14:dxf>
          </x14:cfRule>
          <xm:sqref>AW26:AW27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D876E-BABE-45C4-AD55-DB344F649C7E}">
  <dimension ref="A1:V69"/>
  <sheetViews>
    <sheetView topLeftCell="A27" zoomScale="90" zoomScaleNormal="90" workbookViewId="0">
      <selection activeCell="D19" sqref="D19"/>
    </sheetView>
  </sheetViews>
  <sheetFormatPr baseColWidth="10" defaultRowHeight="14.4" x14ac:dyDescent="0.3"/>
  <cols>
    <col min="1" max="1" width="4.44140625" customWidth="1"/>
    <col min="2" max="2" width="46.5546875" customWidth="1"/>
    <col min="3" max="3" width="4.88671875" customWidth="1"/>
    <col min="9" max="9" width="28.44140625" customWidth="1"/>
    <col min="14" max="14" width="13.88671875" customWidth="1"/>
    <col min="15" max="15" width="11.44140625" customWidth="1"/>
    <col min="17" max="17" width="15.6640625" customWidth="1"/>
    <col min="18" max="18" width="11.33203125" customWidth="1"/>
    <col min="19" max="19" width="29.6640625" customWidth="1"/>
    <col min="20" max="20" width="9.44140625" style="52" customWidth="1"/>
    <col min="21" max="21" width="8.6640625" style="52" customWidth="1"/>
    <col min="22" max="22" width="8.33203125" style="52" customWidth="1"/>
    <col min="259" max="259" width="46.5546875" customWidth="1"/>
    <col min="260" max="260" width="4.88671875" customWidth="1"/>
    <col min="515" max="515" width="46.5546875" customWidth="1"/>
    <col min="516" max="516" width="4.88671875" customWidth="1"/>
    <col min="771" max="771" width="46.5546875" customWidth="1"/>
    <col min="772" max="772" width="4.88671875" customWidth="1"/>
    <col min="1027" max="1027" width="46.5546875" customWidth="1"/>
    <col min="1028" max="1028" width="4.88671875" customWidth="1"/>
    <col min="1283" max="1283" width="46.5546875" customWidth="1"/>
    <col min="1284" max="1284" width="4.88671875" customWidth="1"/>
    <col min="1539" max="1539" width="46.5546875" customWidth="1"/>
    <col min="1540" max="1540" width="4.88671875" customWidth="1"/>
    <col min="1795" max="1795" width="46.5546875" customWidth="1"/>
    <col min="1796" max="1796" width="4.88671875" customWidth="1"/>
    <col min="2051" max="2051" width="46.5546875" customWidth="1"/>
    <col min="2052" max="2052" width="4.88671875" customWidth="1"/>
    <col min="2307" max="2307" width="46.5546875" customWidth="1"/>
    <col min="2308" max="2308" width="4.88671875" customWidth="1"/>
    <col min="2563" max="2563" width="46.5546875" customWidth="1"/>
    <col min="2564" max="2564" width="4.88671875" customWidth="1"/>
    <col min="2819" max="2819" width="46.5546875" customWidth="1"/>
    <col min="2820" max="2820" width="4.88671875" customWidth="1"/>
    <col min="3075" max="3075" width="46.5546875" customWidth="1"/>
    <col min="3076" max="3076" width="4.88671875" customWidth="1"/>
    <col min="3331" max="3331" width="46.5546875" customWidth="1"/>
    <col min="3332" max="3332" width="4.88671875" customWidth="1"/>
    <col min="3587" max="3587" width="46.5546875" customWidth="1"/>
    <col min="3588" max="3588" width="4.88671875" customWidth="1"/>
    <col min="3843" max="3843" width="46.5546875" customWidth="1"/>
    <col min="3844" max="3844" width="4.88671875" customWidth="1"/>
    <col min="4099" max="4099" width="46.5546875" customWidth="1"/>
    <col min="4100" max="4100" width="4.88671875" customWidth="1"/>
    <col min="4355" max="4355" width="46.5546875" customWidth="1"/>
    <col min="4356" max="4356" width="4.88671875" customWidth="1"/>
    <col min="4611" max="4611" width="46.5546875" customWidth="1"/>
    <col min="4612" max="4612" width="4.88671875" customWidth="1"/>
    <col min="4867" max="4867" width="46.5546875" customWidth="1"/>
    <col min="4868" max="4868" width="4.88671875" customWidth="1"/>
    <col min="5123" max="5123" width="46.5546875" customWidth="1"/>
    <col min="5124" max="5124" width="4.88671875" customWidth="1"/>
    <col min="5379" max="5379" width="46.5546875" customWidth="1"/>
    <col min="5380" max="5380" width="4.88671875" customWidth="1"/>
    <col min="5635" max="5635" width="46.5546875" customWidth="1"/>
    <col min="5636" max="5636" width="4.88671875" customWidth="1"/>
    <col min="5891" max="5891" width="46.5546875" customWidth="1"/>
    <col min="5892" max="5892" width="4.88671875" customWidth="1"/>
    <col min="6147" max="6147" width="46.5546875" customWidth="1"/>
    <col min="6148" max="6148" width="4.88671875" customWidth="1"/>
    <col min="6403" max="6403" width="46.5546875" customWidth="1"/>
    <col min="6404" max="6404" width="4.88671875" customWidth="1"/>
    <col min="6659" max="6659" width="46.5546875" customWidth="1"/>
    <col min="6660" max="6660" width="4.88671875" customWidth="1"/>
    <col min="6915" max="6915" width="46.5546875" customWidth="1"/>
    <col min="6916" max="6916" width="4.88671875" customWidth="1"/>
    <col min="7171" max="7171" width="46.5546875" customWidth="1"/>
    <col min="7172" max="7172" width="4.88671875" customWidth="1"/>
    <col min="7427" max="7427" width="46.5546875" customWidth="1"/>
    <col min="7428" max="7428" width="4.88671875" customWidth="1"/>
    <col min="7683" max="7683" width="46.5546875" customWidth="1"/>
    <col min="7684" max="7684" width="4.88671875" customWidth="1"/>
    <col min="7939" max="7939" width="46.5546875" customWidth="1"/>
    <col min="7940" max="7940" width="4.88671875" customWidth="1"/>
    <col min="8195" max="8195" width="46.5546875" customWidth="1"/>
    <col min="8196" max="8196" width="4.88671875" customWidth="1"/>
    <col min="8451" max="8451" width="46.5546875" customWidth="1"/>
    <col min="8452" max="8452" width="4.88671875" customWidth="1"/>
    <col min="8707" max="8707" width="46.5546875" customWidth="1"/>
    <col min="8708" max="8708" width="4.88671875" customWidth="1"/>
    <col min="8963" max="8963" width="46.5546875" customWidth="1"/>
    <col min="8964" max="8964" width="4.88671875" customWidth="1"/>
    <col min="9219" max="9219" width="46.5546875" customWidth="1"/>
    <col min="9220" max="9220" width="4.88671875" customWidth="1"/>
    <col min="9475" max="9475" width="46.5546875" customWidth="1"/>
    <col min="9476" max="9476" width="4.88671875" customWidth="1"/>
    <col min="9731" max="9731" width="46.5546875" customWidth="1"/>
    <col min="9732" max="9732" width="4.88671875" customWidth="1"/>
    <col min="9987" max="9987" width="46.5546875" customWidth="1"/>
    <col min="9988" max="9988" width="4.88671875" customWidth="1"/>
    <col min="10243" max="10243" width="46.5546875" customWidth="1"/>
    <col min="10244" max="10244" width="4.88671875" customWidth="1"/>
    <col min="10499" max="10499" width="46.5546875" customWidth="1"/>
    <col min="10500" max="10500" width="4.88671875" customWidth="1"/>
    <col min="10755" max="10755" width="46.5546875" customWidth="1"/>
    <col min="10756" max="10756" width="4.88671875" customWidth="1"/>
    <col min="11011" max="11011" width="46.5546875" customWidth="1"/>
    <col min="11012" max="11012" width="4.88671875" customWidth="1"/>
    <col min="11267" max="11267" width="46.5546875" customWidth="1"/>
    <col min="11268" max="11268" width="4.88671875" customWidth="1"/>
    <col min="11523" max="11523" width="46.5546875" customWidth="1"/>
    <col min="11524" max="11524" width="4.88671875" customWidth="1"/>
    <col min="11779" max="11779" width="46.5546875" customWidth="1"/>
    <col min="11780" max="11780" width="4.88671875" customWidth="1"/>
    <col min="12035" max="12035" width="46.5546875" customWidth="1"/>
    <col min="12036" max="12036" width="4.88671875" customWidth="1"/>
    <col min="12291" max="12291" width="46.5546875" customWidth="1"/>
    <col min="12292" max="12292" width="4.88671875" customWidth="1"/>
    <col min="12547" max="12547" width="46.5546875" customWidth="1"/>
    <col min="12548" max="12548" width="4.88671875" customWidth="1"/>
    <col min="12803" max="12803" width="46.5546875" customWidth="1"/>
    <col min="12804" max="12804" width="4.88671875" customWidth="1"/>
    <col min="13059" max="13059" width="46.5546875" customWidth="1"/>
    <col min="13060" max="13060" width="4.88671875" customWidth="1"/>
    <col min="13315" max="13315" width="46.5546875" customWidth="1"/>
    <col min="13316" max="13316" width="4.88671875" customWidth="1"/>
    <col min="13571" max="13571" width="46.5546875" customWidth="1"/>
    <col min="13572" max="13572" width="4.88671875" customWidth="1"/>
    <col min="13827" max="13827" width="46.5546875" customWidth="1"/>
    <col min="13828" max="13828" width="4.88671875" customWidth="1"/>
    <col min="14083" max="14083" width="46.5546875" customWidth="1"/>
    <col min="14084" max="14084" width="4.88671875" customWidth="1"/>
    <col min="14339" max="14339" width="46.5546875" customWidth="1"/>
    <col min="14340" max="14340" width="4.88671875" customWidth="1"/>
    <col min="14595" max="14595" width="46.5546875" customWidth="1"/>
    <col min="14596" max="14596" width="4.88671875" customWidth="1"/>
    <col min="14851" max="14851" width="46.5546875" customWidth="1"/>
    <col min="14852" max="14852" width="4.88671875" customWidth="1"/>
    <col min="15107" max="15107" width="46.5546875" customWidth="1"/>
    <col min="15108" max="15108" width="4.88671875" customWidth="1"/>
    <col min="15363" max="15363" width="46.5546875" customWidth="1"/>
    <col min="15364" max="15364" width="4.88671875" customWidth="1"/>
    <col min="15619" max="15619" width="46.5546875" customWidth="1"/>
    <col min="15620" max="15620" width="4.88671875" customWidth="1"/>
    <col min="15875" max="15875" width="46.5546875" customWidth="1"/>
    <col min="15876" max="15876" width="4.88671875" customWidth="1"/>
    <col min="16131" max="16131" width="46.5546875" customWidth="1"/>
    <col min="16132" max="16132" width="4.88671875" customWidth="1"/>
  </cols>
  <sheetData>
    <row r="1" spans="1:22" ht="17.399999999999999" x14ac:dyDescent="0.3">
      <c r="B1" s="3" t="s">
        <v>55</v>
      </c>
      <c r="I1" s="35" t="s">
        <v>477</v>
      </c>
      <c r="P1" s="34"/>
      <c r="Q1" s="34"/>
      <c r="R1" s="34"/>
      <c r="S1" s="34"/>
    </row>
    <row r="2" spans="1:22" x14ac:dyDescent="0.3">
      <c r="I2" s="336" t="s">
        <v>341</v>
      </c>
      <c r="Q2" s="34"/>
      <c r="R2" s="34"/>
      <c r="S2" s="34"/>
    </row>
    <row r="3" spans="1:22" x14ac:dyDescent="0.3">
      <c r="D3" t="s">
        <v>48</v>
      </c>
      <c r="E3" t="s">
        <v>49</v>
      </c>
      <c r="F3" t="s">
        <v>50</v>
      </c>
      <c r="G3" t="s">
        <v>26</v>
      </c>
      <c r="Q3" s="34"/>
      <c r="R3" s="34"/>
      <c r="S3" s="34"/>
    </row>
    <row r="4" spans="1:22" x14ac:dyDescent="0.3">
      <c r="B4" s="729" t="s">
        <v>18</v>
      </c>
      <c r="C4" s="729"/>
      <c r="D4" s="730">
        <f>+Programm!BM7</f>
        <v>0</v>
      </c>
      <c r="E4" s="730">
        <f>+Programm!BN7</f>
        <v>0</v>
      </c>
      <c r="F4" s="730">
        <f>+Programm!BO7</f>
        <v>0</v>
      </c>
      <c r="G4" s="36">
        <f>+D4+E4+F4</f>
        <v>0</v>
      </c>
      <c r="Q4" s="34"/>
      <c r="R4" s="34"/>
      <c r="S4" s="34"/>
    </row>
    <row r="5" spans="1:22" x14ac:dyDescent="0.3">
      <c r="B5" s="729" t="s">
        <v>17</v>
      </c>
      <c r="C5" s="729"/>
      <c r="D5" s="730">
        <f>+Programm!BM12</f>
        <v>0</v>
      </c>
      <c r="E5" s="730">
        <f>+Programm!BN12</f>
        <v>0</v>
      </c>
      <c r="F5" s="730">
        <f>+Programm!BO12</f>
        <v>0</v>
      </c>
    </row>
    <row r="6" spans="1:22" x14ac:dyDescent="0.3">
      <c r="B6" s="729" t="s">
        <v>56</v>
      </c>
      <c r="C6" s="729"/>
      <c r="D6" s="42" t="e">
        <f>SUM(Programm!BM11,Programm!BM13:BM17,Programm!CC6:CC11)</f>
        <v>#VALUE!</v>
      </c>
      <c r="E6" s="36" t="e">
        <f>SUM(Programm!BN11,Programm!BN13:BN17,Programm!CD6:CD11)</f>
        <v>#VALUE!</v>
      </c>
      <c r="F6" s="36" t="e">
        <f>SUM(Programm!BO11,Programm!BO13:BO17,Programm!CE6:CE11)</f>
        <v>#VALUE!</v>
      </c>
      <c r="N6" s="285" t="s">
        <v>344</v>
      </c>
    </row>
    <row r="7" spans="1:22" x14ac:dyDescent="0.3">
      <c r="B7" s="729" t="s">
        <v>57</v>
      </c>
      <c r="C7" s="729"/>
      <c r="D7" s="36" t="e">
        <f>SUM(Programm!CC14:CC17)</f>
        <v>#VALUE!</v>
      </c>
      <c r="E7" s="36" t="e">
        <f>SUM(Programm!CD14:CD17)</f>
        <v>#VALUE!</v>
      </c>
      <c r="F7" s="36" t="e">
        <f>SUM(Programm!CE14:CE17)</f>
        <v>#VALUE!</v>
      </c>
      <c r="I7" t="s">
        <v>58</v>
      </c>
      <c r="N7" s="285" t="s">
        <v>343</v>
      </c>
      <c r="O7" s="285" t="s">
        <v>59</v>
      </c>
      <c r="P7" s="285" t="s">
        <v>60</v>
      </c>
      <c r="Q7" s="337" t="s">
        <v>61</v>
      </c>
      <c r="R7" s="337" t="s">
        <v>62</v>
      </c>
      <c r="S7" s="337" t="s">
        <v>63</v>
      </c>
      <c r="T7" s="330" t="s">
        <v>64</v>
      </c>
      <c r="U7" s="330" t="s">
        <v>65</v>
      </c>
      <c r="V7" s="330" t="s">
        <v>50</v>
      </c>
    </row>
    <row r="8" spans="1:22" x14ac:dyDescent="0.3">
      <c r="B8" s="729" t="s">
        <v>66</v>
      </c>
      <c r="C8" s="729"/>
      <c r="D8" s="730" t="str">
        <f>+Programm!CJ32</f>
        <v xml:space="preserve"> 1.G</v>
      </c>
      <c r="E8" s="730" t="str">
        <f>+Programm!CK32</f>
        <v xml:space="preserve"> 2.G</v>
      </c>
      <c r="F8" s="730" t="str">
        <f>+Programm!CO32</f>
        <v>3.G</v>
      </c>
      <c r="I8" t="s">
        <v>67</v>
      </c>
      <c r="J8" t="s">
        <v>49</v>
      </c>
      <c r="K8" t="s">
        <v>50</v>
      </c>
      <c r="L8" t="s">
        <v>26</v>
      </c>
      <c r="Q8" s="35"/>
      <c r="R8" s="35"/>
      <c r="S8" s="35"/>
      <c r="T8" s="52" t="e">
        <f>IF(T10&lt;0,S9/3,T10)</f>
        <v>#VALUE!</v>
      </c>
      <c r="U8" s="52">
        <f>IF(U10&lt;0,S9/3,U10)</f>
        <v>0</v>
      </c>
      <c r="V8" s="52">
        <f>IF(V10=0,0,IF(V10&lt;10,S9/3,V10))</f>
        <v>0</v>
      </c>
    </row>
    <row r="9" spans="1:22" x14ac:dyDescent="0.3">
      <c r="B9" t="s">
        <v>326</v>
      </c>
      <c r="D9" s="42" t="e">
        <f>ROUND(IF(D8+(D7*1)&lt;0,0,D8+(D7*1)),0)</f>
        <v>#VALUE!</v>
      </c>
      <c r="E9" s="42" t="e">
        <f t="shared" ref="E9:F9" si="0">ROUND(IF(E8+(E7*1)&lt;0,0,E8+(E7*1)),0)</f>
        <v>#VALUE!</v>
      </c>
      <c r="F9" s="42" t="e">
        <f t="shared" si="0"/>
        <v>#VALUE!</v>
      </c>
      <c r="I9" s="37" t="e">
        <f>+D4+D5+D6</f>
        <v>#VALUE!</v>
      </c>
      <c r="J9" s="37" t="e">
        <f>+E4+E5+E6</f>
        <v>#VALUE!</v>
      </c>
      <c r="K9" s="37" t="e">
        <f>+F4+F5+F6</f>
        <v>#VALUE!</v>
      </c>
      <c r="L9" s="37" t="e">
        <f>SUM(I9:K9)</f>
        <v>#VALUE!</v>
      </c>
      <c r="N9">
        <f>INDEX(Hauptfrüchte!BI$6:BI$46,Programm!BP7)</f>
        <v>1</v>
      </c>
      <c r="O9">
        <f>+Programm!BP7</f>
        <v>1</v>
      </c>
      <c r="P9">
        <f>INDEX(Hauptfrüchte!A$6:A$46,Programm!BP7)</f>
        <v>0</v>
      </c>
      <c r="Q9" s="38">
        <f>Programm!D13</f>
        <v>0</v>
      </c>
      <c r="R9" s="35">
        <f>+Programm!CC13</f>
        <v>2</v>
      </c>
      <c r="S9" s="35" t="e">
        <f>IF(R9=2,L9*(Q9/100),IF(R9=3,Q9,0))</f>
        <v>#VALUE!</v>
      </c>
    </row>
    <row r="10" spans="1:22" x14ac:dyDescent="0.3">
      <c r="D10" s="37"/>
      <c r="E10" s="37"/>
      <c r="F10" s="37"/>
      <c r="T10" s="52" t="e">
        <f>IF($N$9=1,$S$9,IF($N$9=2,$S$9/2,IF(AND($O$42=2,$S$9&gt;=10),($S$9-10)/3,$S$9/3)))</f>
        <v>#VALUE!</v>
      </c>
      <c r="U10" s="52">
        <f>IF($N$9=1,0,IF($N$9=2,$S$9/2,IF(AND($O$42=2,$S$9&gt;=10),($S$9-10)/3,$S$9/3)))</f>
        <v>0</v>
      </c>
      <c r="V10" s="52">
        <f>IF($N$9=1,0,IF($N$9=2,0,IF(AND($O$42=2,$S$9&gt;=10),($S$9-10)/3+10,$S$9/3)))</f>
        <v>0</v>
      </c>
    </row>
    <row r="11" spans="1:22" x14ac:dyDescent="0.3">
      <c r="B11" s="285" t="s">
        <v>288</v>
      </c>
      <c r="I11" s="732" t="s">
        <v>308</v>
      </c>
      <c r="M11" s="39"/>
    </row>
    <row r="12" spans="1:22" ht="15" thickBot="1" x14ac:dyDescent="0.35"/>
    <row r="13" spans="1:22" x14ac:dyDescent="0.3">
      <c r="B13" t="s">
        <v>68</v>
      </c>
      <c r="D13" s="37" t="e">
        <f>SUM(D4:D7)</f>
        <v>#VALUE!</v>
      </c>
      <c r="E13" s="37" t="e">
        <f>SUM(E4:E7)</f>
        <v>#VALUE!</v>
      </c>
      <c r="F13" s="37" t="e">
        <f>SUM(F4:F7)</f>
        <v>#VALUE!</v>
      </c>
      <c r="G13" s="37" t="e">
        <f>SUM(D13:F13)</f>
        <v>#VALUE!</v>
      </c>
      <c r="I13" s="40"/>
      <c r="J13" s="41"/>
      <c r="K13" s="41"/>
      <c r="L13" s="41"/>
      <c r="M13" s="40"/>
      <c r="O13" s="656" t="s">
        <v>418</v>
      </c>
      <c r="P13" s="657"/>
      <c r="Q13" s="657"/>
      <c r="R13" s="657"/>
      <c r="S13" s="658"/>
    </row>
    <row r="14" spans="1:22" x14ac:dyDescent="0.3">
      <c r="B14" s="35" t="s">
        <v>46</v>
      </c>
      <c r="D14" s="36" t="e">
        <f>IF(AND(R9&gt;1,S9&gt;0),D13-T8,D13)</f>
        <v>#VALUE!</v>
      </c>
      <c r="E14" s="36" t="e">
        <f>IF(AND(R9&gt;1,S9&gt;0),E13-U8,E13)</f>
        <v>#VALUE!</v>
      </c>
      <c r="F14" s="36" t="e">
        <f>IF(AND(R9&gt;1,S9&gt;0),F13-V8,F13)</f>
        <v>#VALUE!</v>
      </c>
      <c r="G14" s="36" t="e">
        <f>SUM(D14:F14)</f>
        <v>#VALUE!</v>
      </c>
      <c r="I14" s="40"/>
      <c r="J14" s="40"/>
      <c r="K14" s="40"/>
      <c r="L14" s="40"/>
      <c r="M14" s="40"/>
      <c r="O14" s="625" t="s">
        <v>355</v>
      </c>
      <c r="P14" s="278"/>
      <c r="Q14" s="278"/>
      <c r="R14" s="278"/>
      <c r="S14" s="626"/>
      <c r="U14" s="325" t="s">
        <v>52</v>
      </c>
      <c r="V14" s="34"/>
    </row>
    <row r="15" spans="1:22" x14ac:dyDescent="0.3">
      <c r="B15" s="40" t="s">
        <v>40</v>
      </c>
      <c r="C15" s="40"/>
      <c r="D15" s="41">
        <f>IF(I13=1,L9*0.1,0)</f>
        <v>0</v>
      </c>
      <c r="E15" s="41">
        <v>0</v>
      </c>
      <c r="F15" s="41">
        <v>0</v>
      </c>
      <c r="G15" s="41"/>
      <c r="I15" s="40"/>
      <c r="J15" s="40"/>
      <c r="K15" s="40"/>
      <c r="L15" s="40"/>
      <c r="M15" s="40"/>
      <c r="O15" s="627" t="s">
        <v>183</v>
      </c>
      <c r="P15" s="341" t="s">
        <v>167</v>
      </c>
      <c r="Q15" s="217" t="s">
        <v>104</v>
      </c>
      <c r="R15" s="341" t="s">
        <v>306</v>
      </c>
      <c r="S15" s="628" t="s">
        <v>342</v>
      </c>
      <c r="U15" s="325" t="s">
        <v>296</v>
      </c>
      <c r="V15" s="34" t="s">
        <v>53</v>
      </c>
    </row>
    <row r="16" spans="1:22" x14ac:dyDescent="0.3">
      <c r="A16" t="s">
        <v>69</v>
      </c>
      <c r="B16" t="s">
        <v>70</v>
      </c>
      <c r="D16" s="36" t="e">
        <f>IF(G14+D15&lt;0,0,D14+D15)</f>
        <v>#VALUE!</v>
      </c>
      <c r="E16" s="37" t="e">
        <f>IF(G14&lt;0,0,E14)</f>
        <v>#VALUE!</v>
      </c>
      <c r="F16" s="37" t="e">
        <f>IF(G14&lt;0,0,F14)</f>
        <v>#VALUE!</v>
      </c>
      <c r="G16" s="37" t="e">
        <f t="shared" ref="G16:G36" si="1">SUM(D16:F16)</f>
        <v>#VALUE!</v>
      </c>
      <c r="I16" s="40"/>
      <c r="J16" s="40"/>
      <c r="K16" s="40"/>
      <c r="L16" s="40"/>
      <c r="M16" s="40"/>
      <c r="O16" s="638" t="s">
        <v>305</v>
      </c>
      <c r="P16" s="639" t="s">
        <v>305</v>
      </c>
      <c r="Q16" s="344"/>
      <c r="R16" s="639" t="s">
        <v>307</v>
      </c>
      <c r="S16" s="640" t="s">
        <v>339</v>
      </c>
      <c r="U16" s="325" t="s">
        <v>297</v>
      </c>
      <c r="V16" s="34" t="s">
        <v>53</v>
      </c>
    </row>
    <row r="17" spans="1:22" x14ac:dyDescent="0.3">
      <c r="B17" t="s">
        <v>325</v>
      </c>
      <c r="D17" s="42" t="e">
        <f>+IF(D16-D9&gt;0,D16-D9,0)</f>
        <v>#VALUE!</v>
      </c>
      <c r="E17" s="42" t="e">
        <f t="shared" ref="E17:F17" si="2">+IF(E16-E9&gt;0,E16-E9,0)</f>
        <v>#VALUE!</v>
      </c>
      <c r="F17" s="42" t="e">
        <f t="shared" si="2"/>
        <v>#VALUE!</v>
      </c>
      <c r="G17" s="37" t="e">
        <f t="shared" si="1"/>
        <v>#VALUE!</v>
      </c>
      <c r="I17" s="40"/>
      <c r="J17" s="40"/>
      <c r="K17" s="40"/>
      <c r="L17" s="40"/>
      <c r="M17" s="40"/>
      <c r="O17" s="629">
        <v>0</v>
      </c>
      <c r="P17" s="342">
        <v>50</v>
      </c>
      <c r="Q17" s="278"/>
      <c r="R17" s="343" t="s">
        <v>196</v>
      </c>
      <c r="S17" s="630"/>
      <c r="U17" s="329" t="s">
        <v>298</v>
      </c>
      <c r="V17" t="s">
        <v>302</v>
      </c>
    </row>
    <row r="18" spans="1:22" x14ac:dyDescent="0.3">
      <c r="B18" t="s">
        <v>327</v>
      </c>
      <c r="D18" s="42" t="e">
        <f>+IF(D16-D9&lt;0,D16-D9,0)</f>
        <v>#VALUE!</v>
      </c>
      <c r="E18" s="42" t="e">
        <f t="shared" ref="E18:F18" si="3">+IF(E16-E9&lt;0,E16-E9,0)</f>
        <v>#VALUE!</v>
      </c>
      <c r="F18" s="42" t="e">
        <f t="shared" si="3"/>
        <v>#VALUE!</v>
      </c>
      <c r="G18" s="37" t="e">
        <f t="shared" si="1"/>
        <v>#VALUE!</v>
      </c>
      <c r="I18" s="40"/>
      <c r="J18" s="40"/>
      <c r="K18" s="40"/>
      <c r="L18" s="40"/>
      <c r="M18" s="40"/>
      <c r="O18" s="629">
        <v>50</v>
      </c>
      <c r="P18" s="342">
        <v>100</v>
      </c>
      <c r="Q18" s="278"/>
      <c r="R18" s="342">
        <v>30</v>
      </c>
      <c r="S18" s="630" t="s">
        <v>196</v>
      </c>
      <c r="U18" s="325" t="s">
        <v>300</v>
      </c>
      <c r="V18" t="s">
        <v>299</v>
      </c>
    </row>
    <row r="19" spans="1:22" x14ac:dyDescent="0.3">
      <c r="B19" t="s">
        <v>328</v>
      </c>
      <c r="D19" s="36" t="e">
        <f>+IF($G$18*-1&gt;$G$17,D16-D17+(D18*-1/$G$18*-1*$G$17),D16)</f>
        <v>#VALUE!</v>
      </c>
      <c r="E19" s="36" t="e">
        <f t="shared" ref="E19:F19" si="4">+IF($G$18*-1&gt;$G$17,E16-E17+(E18*-1/$G$18*-1*$G$17),E16)</f>
        <v>#VALUE!</v>
      </c>
      <c r="F19" s="36" t="e">
        <f t="shared" si="4"/>
        <v>#VALUE!</v>
      </c>
      <c r="G19" s="37" t="e">
        <f t="shared" si="1"/>
        <v>#VALUE!</v>
      </c>
      <c r="I19" s="40"/>
      <c r="J19" s="40"/>
      <c r="K19" s="40"/>
      <c r="L19" s="40"/>
      <c r="M19" s="40"/>
      <c r="O19" s="629">
        <v>100</v>
      </c>
      <c r="P19" s="342">
        <v>115</v>
      </c>
      <c r="Q19" s="278"/>
      <c r="R19" s="342" t="s">
        <v>196</v>
      </c>
      <c r="S19" s="630">
        <v>70</v>
      </c>
      <c r="U19" s="329" t="s">
        <v>301</v>
      </c>
      <c r="V19" t="s">
        <v>303</v>
      </c>
    </row>
    <row r="20" spans="1:22" ht="15" thickBot="1" x14ac:dyDescent="0.35">
      <c r="A20" t="s">
        <v>71</v>
      </c>
      <c r="B20" t="s">
        <v>72</v>
      </c>
      <c r="D20" s="339" t="e">
        <f>IF(D19&lt;0,1/D19/1000*-1,D19)</f>
        <v>#VALUE!</v>
      </c>
      <c r="E20" s="42" t="e">
        <f>IF(D19&lt;0,IF(D7&gt;D19,(((D19*-1)-(D7*-1))/2*-1)+D7+E19,D19+E19),E19)</f>
        <v>#VALUE!</v>
      </c>
      <c r="F20" s="339" t="e">
        <f>+F19+(E19-E20)+(D19-D20)</f>
        <v>#VALUE!</v>
      </c>
      <c r="G20" s="37" t="e">
        <f t="shared" si="1"/>
        <v>#VALUE!</v>
      </c>
      <c r="I20" s="40"/>
      <c r="J20" s="40"/>
      <c r="K20" s="40"/>
      <c r="L20" s="40"/>
      <c r="M20" s="40"/>
      <c r="O20" s="631">
        <f>P19</f>
        <v>115</v>
      </c>
      <c r="P20" s="632"/>
      <c r="Q20" s="633" t="s">
        <v>196</v>
      </c>
      <c r="R20" s="632">
        <v>30</v>
      </c>
      <c r="S20" s="634">
        <v>60</v>
      </c>
      <c r="U20" s="325" t="s">
        <v>304</v>
      </c>
      <c r="V20" s="34" t="s">
        <v>54</v>
      </c>
    </row>
    <row r="21" spans="1:22" ht="15" thickBot="1" x14ac:dyDescent="0.35">
      <c r="B21" t="s">
        <v>73</v>
      </c>
      <c r="D21" s="339" t="e">
        <f>+D20</f>
        <v>#VALUE!</v>
      </c>
      <c r="E21" s="339" t="e">
        <f>IF(E20&lt;0,1/E20/1000*-1,E20)</f>
        <v>#VALUE!</v>
      </c>
      <c r="F21" s="42" t="e">
        <f>IF(E20&lt;0,E20+F20,F20)</f>
        <v>#VALUE!</v>
      </c>
      <c r="G21" s="37" t="e">
        <f t="shared" si="1"/>
        <v>#VALUE!</v>
      </c>
      <c r="M21" s="37" t="e">
        <f>+G14</f>
        <v>#VALUE!</v>
      </c>
    </row>
    <row r="22" spans="1:22" x14ac:dyDescent="0.3">
      <c r="B22" t="s">
        <v>74</v>
      </c>
      <c r="D22" s="339" t="e">
        <f>+D21</f>
        <v>#VALUE!</v>
      </c>
      <c r="E22" s="42" t="e">
        <f>IF(F21&lt;0,F21+E21,E21)</f>
        <v>#VALUE!</v>
      </c>
      <c r="F22" s="340" t="e">
        <f>+IF(AND(F21&lt;0,F4=0),0,IF(F21&lt;0,1/F21/1000*-1,F21))</f>
        <v>#VALUE!</v>
      </c>
      <c r="G22" s="37" t="e">
        <f t="shared" si="1"/>
        <v>#VALUE!</v>
      </c>
      <c r="I22" s="40"/>
      <c r="J22" s="40"/>
      <c r="K22" s="40"/>
      <c r="L22" s="40"/>
      <c r="M22" s="40"/>
      <c r="O22" s="659" t="s">
        <v>419</v>
      </c>
      <c r="P22" s="660"/>
      <c r="Q22" s="660"/>
      <c r="R22" s="660"/>
      <c r="S22" s="661"/>
    </row>
    <row r="23" spans="1:22" x14ac:dyDescent="0.3">
      <c r="B23" t="s">
        <v>73</v>
      </c>
      <c r="D23" s="339" t="e">
        <f>IF(E22&lt;0,E22+D22,D22)</f>
        <v>#VALUE!</v>
      </c>
      <c r="E23" s="338" t="e">
        <f>IF(E22&lt;0,1/E22/1000*-1,E22)</f>
        <v>#VALUE!</v>
      </c>
      <c r="F23" s="338" t="e">
        <f>+F22</f>
        <v>#VALUE!</v>
      </c>
      <c r="G23" s="37" t="e">
        <f t="shared" si="1"/>
        <v>#VALUE!</v>
      </c>
      <c r="I23" s="40"/>
      <c r="J23" s="40"/>
      <c r="K23" s="40"/>
      <c r="L23" s="40"/>
      <c r="M23" s="40"/>
      <c r="O23" s="625" t="s">
        <v>183</v>
      </c>
      <c r="P23" s="278" t="s">
        <v>167</v>
      </c>
      <c r="Q23" s="278" t="s">
        <v>104</v>
      </c>
      <c r="R23" s="278"/>
      <c r="S23" s="626" t="s">
        <v>416</v>
      </c>
      <c r="U23" s="325" t="s">
        <v>52</v>
      </c>
    </row>
    <row r="24" spans="1:22" x14ac:dyDescent="0.3">
      <c r="A24" t="s">
        <v>75</v>
      </c>
      <c r="B24" t="s">
        <v>312</v>
      </c>
      <c r="D24" s="339" t="e">
        <f>IF(D23&gt;J42,D23,IF(AND(D23&lt;=J42,$G$23&gt;J42),J42,$G$23))</f>
        <v>#VALUE!</v>
      </c>
      <c r="E24" s="340" t="e">
        <f t="shared" ref="E24:F24" si="5">IF(E23&gt;K42,E23,IF(AND(E23&lt;=K42,$G$23&gt;K42),K42,$G$23))</f>
        <v>#VALUE!</v>
      </c>
      <c r="F24" s="340" t="e">
        <f t="shared" si="5"/>
        <v>#VALUE!</v>
      </c>
      <c r="G24" s="42" t="e">
        <f t="shared" si="1"/>
        <v>#VALUE!</v>
      </c>
      <c r="I24" s="40"/>
      <c r="J24" s="40"/>
      <c r="K24" s="40"/>
      <c r="L24" s="40"/>
      <c r="M24" s="40"/>
      <c r="O24" s="641" t="s">
        <v>305</v>
      </c>
      <c r="P24" s="344" t="s">
        <v>305</v>
      </c>
      <c r="Q24" s="344"/>
      <c r="R24" s="344"/>
      <c r="S24" s="642"/>
      <c r="U24" s="325"/>
      <c r="V24" s="637"/>
    </row>
    <row r="25" spans="1:22" x14ac:dyDescent="0.3">
      <c r="B25" t="s">
        <v>313</v>
      </c>
      <c r="D25" s="339" t="e">
        <f>+IF(J42&gt;=D24,0,D24-J42)</f>
        <v>#VALUE!</v>
      </c>
      <c r="E25" s="338" t="e">
        <f>+IF(K42&gt;=E24,0,E24-K42)</f>
        <v>#VALUE!</v>
      </c>
      <c r="F25" s="338" t="e">
        <f>+IF(L42&gt;=F24,0,F24-L42)</f>
        <v>#VALUE!</v>
      </c>
      <c r="G25" s="42" t="e">
        <f t="shared" si="1"/>
        <v>#VALUE!</v>
      </c>
      <c r="I25" s="40"/>
      <c r="J25" s="40"/>
      <c r="K25" s="40"/>
      <c r="L25" s="40"/>
      <c r="M25" s="40"/>
      <c r="O25" s="625">
        <v>0</v>
      </c>
      <c r="P25" s="278">
        <v>70</v>
      </c>
      <c r="Q25" s="278"/>
      <c r="R25" s="278"/>
      <c r="S25" s="626" t="s">
        <v>196</v>
      </c>
      <c r="U25" s="325"/>
      <c r="V25" s="637"/>
    </row>
    <row r="26" spans="1:22" x14ac:dyDescent="0.3">
      <c r="B26" t="s">
        <v>314</v>
      </c>
      <c r="D26" s="339">
        <f>+IFERROR(($G$24-$G$23)/$G$25*D25,0)</f>
        <v>0</v>
      </c>
      <c r="E26" s="338">
        <f t="shared" ref="E26:F26" si="6">+IFERROR(($G$24-$G$23)/$G$25*E25,0)</f>
        <v>0</v>
      </c>
      <c r="F26" s="338">
        <f t="shared" si="6"/>
        <v>0</v>
      </c>
      <c r="G26" s="42">
        <f t="shared" si="1"/>
        <v>0</v>
      </c>
      <c r="I26" s="40"/>
      <c r="J26" s="40"/>
      <c r="K26" s="40"/>
      <c r="L26" s="40"/>
      <c r="M26" s="40"/>
      <c r="O26" s="625">
        <v>70</v>
      </c>
      <c r="P26" s="278">
        <v>80</v>
      </c>
      <c r="Q26" s="278">
        <v>20</v>
      </c>
      <c r="R26" s="278"/>
      <c r="S26" s="626" t="s">
        <v>196</v>
      </c>
      <c r="U26" s="329"/>
      <c r="V26" s="637"/>
    </row>
    <row r="27" spans="1:22" ht="15" thickBot="1" x14ac:dyDescent="0.35">
      <c r="B27" t="s">
        <v>315</v>
      </c>
      <c r="D27" s="339" t="e">
        <f>+D24-D26</f>
        <v>#VALUE!</v>
      </c>
      <c r="E27" s="338" t="e">
        <f t="shared" ref="E27:F27" si="7">+E24-E26</f>
        <v>#VALUE!</v>
      </c>
      <c r="F27" s="338" t="e">
        <f t="shared" si="7"/>
        <v>#VALUE!</v>
      </c>
      <c r="G27" s="42" t="e">
        <f t="shared" si="1"/>
        <v>#VALUE!</v>
      </c>
      <c r="I27" s="40"/>
      <c r="J27" s="40"/>
      <c r="K27" s="40"/>
      <c r="L27" s="40"/>
      <c r="M27" s="40"/>
      <c r="O27" s="635">
        <v>80</v>
      </c>
      <c r="P27" s="633"/>
      <c r="Q27" s="633" t="s">
        <v>196</v>
      </c>
      <c r="R27" s="633"/>
      <c r="S27" s="636">
        <v>60</v>
      </c>
      <c r="U27" s="325"/>
      <c r="V27" s="637"/>
    </row>
    <row r="28" spans="1:22" x14ac:dyDescent="0.3">
      <c r="B28" t="s">
        <v>316</v>
      </c>
      <c r="D28" s="339" t="e">
        <f>+IF(J42&gt;0,D27,IF(D27&gt;=D55,D27,0))</f>
        <v>#VALUE!</v>
      </c>
      <c r="E28" s="338" t="e">
        <f>+IF(K42&gt;0,E27,IF(E27&gt;=E55,E27,0))</f>
        <v>#VALUE!</v>
      </c>
      <c r="F28" s="338" t="e">
        <f>+IF(L42&gt;0,F27,IF(F27&gt;=F55,F27,0))</f>
        <v>#VALUE!</v>
      </c>
      <c r="G28" s="42" t="e">
        <f t="shared" si="1"/>
        <v>#VALUE!</v>
      </c>
      <c r="I28" s="40"/>
      <c r="J28" s="40"/>
      <c r="K28" s="40"/>
      <c r="L28" s="40"/>
      <c r="M28" s="40"/>
      <c r="O28" s="278"/>
      <c r="P28" s="278"/>
      <c r="Q28" s="278"/>
      <c r="R28" s="278"/>
      <c r="S28" s="278"/>
      <c r="U28" s="329"/>
      <c r="V28" s="637"/>
    </row>
    <row r="29" spans="1:22" x14ac:dyDescent="0.3">
      <c r="B29" t="s">
        <v>318</v>
      </c>
      <c r="D29" s="339" t="e">
        <f>+IF(D27=D28,"",D27-D28)</f>
        <v>#VALUE!</v>
      </c>
      <c r="E29" s="338" t="e">
        <f t="shared" ref="E29:F29" si="8">+IF(E27=E28,"",E27-E28)</f>
        <v>#VALUE!</v>
      </c>
      <c r="F29" s="338" t="e">
        <f t="shared" si="8"/>
        <v>#VALUE!</v>
      </c>
      <c r="G29" s="42" t="e">
        <f t="shared" si="1"/>
        <v>#VALUE!</v>
      </c>
      <c r="I29" s="40"/>
      <c r="J29" s="40"/>
      <c r="K29" s="40"/>
      <c r="L29" s="40"/>
      <c r="M29" s="40"/>
      <c r="O29" s="278"/>
      <c r="P29" s="278"/>
      <c r="Q29" s="278"/>
      <c r="R29" s="278"/>
      <c r="S29" s="278"/>
      <c r="U29" s="325"/>
      <c r="V29" s="637"/>
    </row>
    <row r="30" spans="1:22" x14ac:dyDescent="0.3">
      <c r="D30" s="339" t="e">
        <f>+IF(AND(D29&lt;&gt;0,D29=MIN($D$29:$F$29)),D29,0)</f>
        <v>#VALUE!</v>
      </c>
      <c r="E30" s="338" t="e">
        <f>+IF(AND(E29&lt;&gt;0,E29=MIN($D$29:$F$29)),E29,0)</f>
        <v>#VALUE!</v>
      </c>
      <c r="F30" s="338" t="e">
        <f>+IF(AND(F29&lt;&gt;0,F29=MIN($D$29:$F$29)),F29,0)</f>
        <v>#VALUE!</v>
      </c>
      <c r="G30" s="42" t="e">
        <f t="shared" si="1"/>
        <v>#VALUE!</v>
      </c>
      <c r="I30" s="40"/>
      <c r="J30" s="40"/>
      <c r="K30" s="40"/>
      <c r="L30" s="40"/>
      <c r="M30" s="40"/>
      <c r="O30" s="278"/>
      <c r="P30" s="278"/>
      <c r="Q30" s="278"/>
      <c r="R30" s="278"/>
      <c r="S30" s="278"/>
    </row>
    <row r="31" spans="1:22" x14ac:dyDescent="0.3">
      <c r="B31" t="s">
        <v>319</v>
      </c>
      <c r="D31" s="339">
        <f>+IF(N9=3,E30/2,0)</f>
        <v>0</v>
      </c>
      <c r="E31" s="338" t="e">
        <f>+IF(N9=3,D30+F30,D30+F30+E30)</f>
        <v>#VALUE!</v>
      </c>
      <c r="F31" s="338">
        <f>+IF(N9=3,E30/2,0)</f>
        <v>0</v>
      </c>
      <c r="G31" s="42" t="e">
        <f t="shared" si="1"/>
        <v>#VALUE!</v>
      </c>
      <c r="I31" s="40"/>
      <c r="J31" s="40"/>
      <c r="K31" s="40"/>
      <c r="L31" s="40"/>
      <c r="M31" s="40"/>
    </row>
    <row r="32" spans="1:22" x14ac:dyDescent="0.3">
      <c r="B32" t="s">
        <v>320</v>
      </c>
      <c r="D32" s="339" t="e">
        <f>+ROUND(D27-D30+D31,1)</f>
        <v>#VALUE!</v>
      </c>
      <c r="E32" s="338" t="e">
        <f>+ROUND(E27-E30+E31,1)</f>
        <v>#VALUE!</v>
      </c>
      <c r="F32" s="338" t="e">
        <f>+ROUND(F27-F30+F31,1)</f>
        <v>#VALUE!</v>
      </c>
      <c r="G32" s="42" t="e">
        <f t="shared" si="1"/>
        <v>#VALUE!</v>
      </c>
      <c r="I32" s="646" t="s">
        <v>417</v>
      </c>
      <c r="J32" s="647" t="e">
        <f>+IF(M21&gt;O20,M21-R20-S20,0)</f>
        <v>#VALUE!</v>
      </c>
      <c r="K32" s="648" t="e">
        <f>IF((M21-J32-L32)&lt;0,0,M21-J32-L32)</f>
        <v>#VALUE!</v>
      </c>
      <c r="L32" s="647" t="e">
        <f>+IF(AND(M21&lt;=P19,M21&gt;O19),S19,IF(M21&gt;O20,S20,IF(M21&gt;O18,M21-R18,0)))</f>
        <v>#VALUE!</v>
      </c>
      <c r="M32" s="649" t="e">
        <f>SUM(J32:L32)</f>
        <v>#VALUE!</v>
      </c>
    </row>
    <row r="33" spans="1:15" x14ac:dyDescent="0.3">
      <c r="B33" t="s">
        <v>321</v>
      </c>
      <c r="D33" s="339" t="e">
        <f>+IF(AND(D32&lt;&gt;0,D32&lt;D55,J42=0),D55-D32,0)</f>
        <v>#VALUE!</v>
      </c>
      <c r="E33" s="338" t="e">
        <f>+IF(AND(E32&lt;&gt;0,E32&lt;E55,K42=0),E55-E32,0)</f>
        <v>#VALUE!</v>
      </c>
      <c r="F33" s="338" t="e">
        <f>+IF(AND(F32&lt;&gt;0,F32&lt;F55,L42=0),F55-F32,0)</f>
        <v>#VALUE!</v>
      </c>
      <c r="G33" s="42" t="e">
        <f t="shared" si="1"/>
        <v>#VALUE!</v>
      </c>
      <c r="I33" s="643"/>
      <c r="J33" s="645" t="s">
        <v>104</v>
      </c>
      <c r="K33" s="645" t="s">
        <v>353</v>
      </c>
      <c r="L33" s="645" t="s">
        <v>354</v>
      </c>
      <c r="M33" s="644" t="s">
        <v>26</v>
      </c>
    </row>
    <row r="34" spans="1:15" x14ac:dyDescent="0.3">
      <c r="B34" t="s">
        <v>322</v>
      </c>
      <c r="D34" s="339" t="e">
        <f>+IF(D32-MAX(D55,J42)&lt;0,0,D32-MAX(D55,J42))</f>
        <v>#VALUE!</v>
      </c>
      <c r="E34" s="338" t="e">
        <f>+IF(E32-MAX(E55,K42)&lt;0,0,E32-MAX(E55,K42))</f>
        <v>#VALUE!</v>
      </c>
      <c r="F34" s="338" t="e">
        <f>+IF(F32-MAX(F55,L42)&lt;0,0,F32-MAX(F55,L42))</f>
        <v>#VALUE!</v>
      </c>
      <c r="G34" s="42" t="e">
        <f t="shared" si="1"/>
        <v>#VALUE!</v>
      </c>
      <c r="I34" s="652" t="s">
        <v>420</v>
      </c>
      <c r="J34" s="653" t="e">
        <f>IF(M21&gt;O27,M21-S27,IF(AND(M21&gt;O26,M21&lt;=P26),Q26,0))</f>
        <v>#VALUE!</v>
      </c>
      <c r="K34" s="653"/>
      <c r="L34" s="653" t="e">
        <f>IF(M21&gt;O27,S27,IF(AND(M21&lt;=P26,M21&gt;O26),M21-J34,M21))</f>
        <v>#VALUE!</v>
      </c>
      <c r="M34" s="654"/>
    </row>
    <row r="35" spans="1:15" x14ac:dyDescent="0.3">
      <c r="B35" t="s">
        <v>323</v>
      </c>
      <c r="D35" s="339" t="e">
        <f>+IF(AND($G$33&lt;=$G$34,D34&gt;=$G$33),$G$33,0)</f>
        <v>#VALUE!</v>
      </c>
      <c r="E35" s="338" t="e">
        <f>+IF(AND($G$33&lt;=$G$34,E34&gt;=$G$33),$G$33,0)</f>
        <v>#VALUE!</v>
      </c>
      <c r="F35" s="338" t="e">
        <f>+IF(AND($G$33&lt;=$G$34,F34&gt;=$G$33),$G$33,0)</f>
        <v>#VALUE!</v>
      </c>
      <c r="G35" s="42"/>
    </row>
    <row r="36" spans="1:15" x14ac:dyDescent="0.3">
      <c r="B36" t="s">
        <v>320</v>
      </c>
      <c r="D36" s="339" t="e">
        <f>+IF($G$34&gt;=$G$33,D32+D33-D35,D32)</f>
        <v>#VALUE!</v>
      </c>
      <c r="E36" s="338" t="e">
        <f>+IF($G$34&gt;=$G$33,E32+E33-E35,E32)</f>
        <v>#VALUE!</v>
      </c>
      <c r="F36" s="338" t="e">
        <f>+IF($G$34&gt;=$G$33,F32+F33-F35,F32)</f>
        <v>#VALUE!</v>
      </c>
      <c r="G36" s="42" t="e">
        <f t="shared" si="1"/>
        <v>#VALUE!</v>
      </c>
      <c r="I36" s="646" t="s">
        <v>421</v>
      </c>
      <c r="J36" s="650" t="e">
        <f>ROUND(J32,0)</f>
        <v>#VALUE!</v>
      </c>
      <c r="K36" s="650" t="e">
        <f t="shared" ref="K36:L38" si="9">ROUND(K32,0)</f>
        <v>#VALUE!</v>
      </c>
      <c r="L36" s="650" t="e">
        <f t="shared" si="9"/>
        <v>#VALUE!</v>
      </c>
      <c r="M36" s="649"/>
    </row>
    <row r="37" spans="1:15" x14ac:dyDescent="0.3">
      <c r="B37" t="s">
        <v>321</v>
      </c>
      <c r="D37" s="339" t="e">
        <f>+IF(AND(D36&lt;&gt;0,D36&lt;D55,J42=0),D36,0)</f>
        <v>#VALUE!</v>
      </c>
      <c r="E37" s="338" t="e">
        <f>+IF(AND(E36&lt;&gt;0,E36&lt;E55,K42=0),E36,0)</f>
        <v>#VALUE!</v>
      </c>
      <c r="F37" s="338" t="e">
        <f>+IF(AND(F36&lt;&gt;0,F36&lt;F55,L42=0),F36,0)</f>
        <v>#VALUE!</v>
      </c>
      <c r="G37" s="42" t="e">
        <f t="shared" ref="G37:G39" si="10">SUM(D37:F37)</f>
        <v>#VALUE!</v>
      </c>
      <c r="I37" s="623"/>
      <c r="J37" s="344"/>
      <c r="K37" s="651" t="e">
        <f>J36+K36</f>
        <v>#VALUE!</v>
      </c>
      <c r="L37" s="651" t="e">
        <f>L36</f>
        <v>#VALUE!</v>
      </c>
      <c r="M37" s="624"/>
    </row>
    <row r="38" spans="1:15" x14ac:dyDescent="0.3">
      <c r="B38" t="s">
        <v>324</v>
      </c>
      <c r="D38" s="339" t="e">
        <f>+IF(J42&gt;0,$G$37+D36,D36-D37)</f>
        <v>#VALUE!</v>
      </c>
      <c r="E38" s="338" t="e">
        <f>+IF(K42&gt;0,$G$37+E36,E36-E37)</f>
        <v>#VALUE!</v>
      </c>
      <c r="F38" s="338" t="e">
        <f>+IF(L42&gt;0,$G$37+F36,F36-F37)</f>
        <v>#VALUE!</v>
      </c>
      <c r="G38" s="42" t="e">
        <f t="shared" si="10"/>
        <v>#VALUE!</v>
      </c>
      <c r="I38" s="652" t="s">
        <v>422</v>
      </c>
      <c r="J38" s="655" t="e">
        <f>ROUND(J34,0)</f>
        <v>#VALUE!</v>
      </c>
      <c r="K38" s="655">
        <f t="shared" si="9"/>
        <v>0</v>
      </c>
      <c r="L38" s="655" t="e">
        <f t="shared" si="9"/>
        <v>#VALUE!</v>
      </c>
      <c r="M38" s="654"/>
    </row>
    <row r="39" spans="1:15" x14ac:dyDescent="0.3">
      <c r="B39" t="s">
        <v>348</v>
      </c>
      <c r="D39" s="339" t="e">
        <f>+IF($G$36=$G$38,D38,D36)</f>
        <v>#VALUE!</v>
      </c>
      <c r="E39" s="338" t="e">
        <f>+IF($G$36=$G$38,E38,E36)</f>
        <v>#VALUE!</v>
      </c>
      <c r="F39" s="338" t="e">
        <f>+IF($G$36=$G$38,F38,F36)</f>
        <v>#VALUE!</v>
      </c>
      <c r="G39" s="42" t="e">
        <f t="shared" si="10"/>
        <v>#VALUE!</v>
      </c>
      <c r="H39">
        <f>+IF(AND(COUNTIF(D39:F39,"&gt;0")&gt;0,COUNTIFS(D39:F39,"&lt;"&amp;D55,D39:F39,"&lt;&gt;0")&gt;0),1,0)</f>
        <v>0</v>
      </c>
    </row>
    <row r="40" spans="1:15" x14ac:dyDescent="0.3">
      <c r="B40" t="s">
        <v>352</v>
      </c>
      <c r="D40" s="42" t="e">
        <f>+IF(AND($H$39=1,D39=MAX($D$39:$F$39)),$G$39,IF(D39&lt;D55,0,D39))</f>
        <v>#VALUE!</v>
      </c>
      <c r="E40" s="42" t="e">
        <f t="shared" ref="E40:F40" si="11">+IF(AND($H$39=1,E39=MAX($D$39:$F$39)),$G$39,IF(E39&lt;E55,0,E39))</f>
        <v>#VALUE!</v>
      </c>
      <c r="F40" s="42" t="e">
        <f t="shared" si="11"/>
        <v>#VALUE!</v>
      </c>
      <c r="G40" s="42"/>
      <c r="J40" s="285" t="s">
        <v>311</v>
      </c>
      <c r="M40" s="285" t="s">
        <v>317</v>
      </c>
    </row>
    <row r="41" spans="1:15" x14ac:dyDescent="0.3">
      <c r="D41" s="42"/>
      <c r="E41" s="42"/>
      <c r="F41" s="42"/>
      <c r="G41" s="42"/>
      <c r="J41" t="s">
        <v>48</v>
      </c>
      <c r="K41" t="s">
        <v>65</v>
      </c>
      <c r="L41" t="s">
        <v>50</v>
      </c>
      <c r="M41" t="s">
        <v>48</v>
      </c>
      <c r="N41" t="s">
        <v>65</v>
      </c>
      <c r="O41" t="s">
        <v>50</v>
      </c>
    </row>
    <row r="42" spans="1:15" x14ac:dyDescent="0.3">
      <c r="B42" s="332" t="s">
        <v>73</v>
      </c>
      <c r="C42" s="332"/>
      <c r="D42" s="333" t="e">
        <f>+D27</f>
        <v>#VALUE!</v>
      </c>
      <c r="E42" s="334" t="e">
        <f>IF(E24&lt;0,0,E24)</f>
        <v>#VALUE!</v>
      </c>
      <c r="F42" s="334" t="e">
        <f>IF(E24&lt;0,E24+F24,F24)</f>
        <v>#VALUE!</v>
      </c>
      <c r="G42" s="334" t="e">
        <f t="shared" ref="G42:G52" si="12">SUM(D42:F42)</f>
        <v>#VALUE!</v>
      </c>
      <c r="I42" t="s">
        <v>347</v>
      </c>
      <c r="J42" s="336" t="e">
        <f>+IF(J43=0,0,IF(J43&gt;=D55,J43,D55))</f>
        <v>#VALUE!</v>
      </c>
      <c r="K42" s="336" t="e">
        <f t="shared" ref="K42:L42" si="13">+IF(K43=0,0,IF(K43&gt;=E55,K43,E55))</f>
        <v>#VALUE!</v>
      </c>
      <c r="L42" s="336" t="e">
        <f t="shared" si="13"/>
        <v>#VALUE!</v>
      </c>
      <c r="M42">
        <f>INDEX(Hauptfrüchte!AF$6:AF$46,Programm!$BP$7)</f>
        <v>0</v>
      </c>
      <c r="N42">
        <f>INDEX(Hauptfrüchte!AG$6:AG$46,Programm!$BP$7)</f>
        <v>0</v>
      </c>
      <c r="O42">
        <f>INDEX(Hauptfrüchte!AH$6:AH$46,Programm!$BP$7)</f>
        <v>0</v>
      </c>
    </row>
    <row r="43" spans="1:15" x14ac:dyDescent="0.3">
      <c r="B43" s="332" t="s">
        <v>74</v>
      </c>
      <c r="C43" s="332"/>
      <c r="D43" s="334" t="e">
        <f>+D42</f>
        <v>#VALUE!</v>
      </c>
      <c r="E43" s="334" t="e">
        <f>IF(F42&lt;0,F42+E42,E42)</f>
        <v>#VALUE!</v>
      </c>
      <c r="F43" s="334" t="e">
        <f>IF(F42&lt;0,0,F42)</f>
        <v>#VALUE!</v>
      </c>
      <c r="G43" s="334" t="e">
        <f t="shared" si="12"/>
        <v>#VALUE!</v>
      </c>
      <c r="I43" s="285" t="s">
        <v>336</v>
      </c>
      <c r="J43" t="e">
        <f>+IF(D7+J44&gt;0,D7+J44,0)</f>
        <v>#VALUE!</v>
      </c>
      <c r="K43" t="e">
        <f>+IF(E7+K44&gt;0,E7+K44,0)</f>
        <v>#VALUE!</v>
      </c>
      <c r="L43" t="e">
        <f>+IF(F7+L44&gt;0,F7+L44,0)</f>
        <v>#VALUE!</v>
      </c>
    </row>
    <row r="44" spans="1:15" x14ac:dyDescent="0.3">
      <c r="A44" t="s">
        <v>76</v>
      </c>
      <c r="B44" s="332" t="s">
        <v>77</v>
      </c>
      <c r="C44" s="332"/>
      <c r="D44" s="334" t="e">
        <f>IF(D43&gt;0,IF(D43&lt;D55,0,D43),0)</f>
        <v>#VALUE!</v>
      </c>
      <c r="E44" s="334" t="e">
        <f>+E43+(D43-D44)</f>
        <v>#VALUE!</v>
      </c>
      <c r="F44" s="334" t="e">
        <f>+F43</f>
        <v>#VALUE!</v>
      </c>
      <c r="G44" s="334" t="e">
        <f t="shared" si="12"/>
        <v>#VALUE!</v>
      </c>
      <c r="I44" s="285" t="s">
        <v>340</v>
      </c>
      <c r="J44">
        <f>INDEX(Hauptfrüchte!AK$6:AK$46,Programm!$BP$7)</f>
        <v>0</v>
      </c>
      <c r="K44">
        <f>INDEX(Hauptfrüchte!AL$6:AL$46,Programm!$BP$7)</f>
        <v>0</v>
      </c>
      <c r="L44">
        <f>INDEX(Hauptfrüchte!AM$6:AM$46,Programm!$BP$7)</f>
        <v>0</v>
      </c>
    </row>
    <row r="45" spans="1:15" x14ac:dyDescent="0.3">
      <c r="A45" t="s">
        <v>78</v>
      </c>
      <c r="B45" s="332" t="s">
        <v>79</v>
      </c>
      <c r="C45" s="332"/>
      <c r="D45" s="334" t="e">
        <f>+D44</f>
        <v>#VALUE!</v>
      </c>
      <c r="E45" s="334" t="e">
        <f>+E44+(F44-F45)</f>
        <v>#VALUE!</v>
      </c>
      <c r="F45" s="334" t="e">
        <f>IF(F44&gt;F9,F9,F44)</f>
        <v>#VALUE!</v>
      </c>
      <c r="G45" s="334" t="e">
        <f t="shared" si="12"/>
        <v>#VALUE!</v>
      </c>
    </row>
    <row r="46" spans="1:15" x14ac:dyDescent="0.3">
      <c r="A46" t="s">
        <v>80</v>
      </c>
      <c r="B46" s="332" t="s">
        <v>81</v>
      </c>
      <c r="C46" s="332"/>
      <c r="D46" s="334" t="e">
        <f>+D45</f>
        <v>#VALUE!</v>
      </c>
      <c r="E46" s="334" t="e">
        <f>+E45+(F45-F46)</f>
        <v>#VALUE!</v>
      </c>
      <c r="F46" s="334" t="e">
        <f>IF(F45&gt;0,IF(F45&lt;F55,IF(G45&lt;(D9+E9)-30,0,F55),F45),0)</f>
        <v>#VALUE!</v>
      </c>
      <c r="G46" s="334" t="e">
        <f t="shared" si="12"/>
        <v>#VALUE!</v>
      </c>
    </row>
    <row r="47" spans="1:15" x14ac:dyDescent="0.3">
      <c r="B47" s="332" t="s">
        <v>73</v>
      </c>
      <c r="C47" s="332"/>
      <c r="D47" s="334" t="e">
        <f>IF(E46&lt;0,E46+D46,D46)</f>
        <v>#VALUE!</v>
      </c>
      <c r="E47" s="334" t="e">
        <f>IF(E46&lt;0,0,E46)</f>
        <v>#VALUE!</v>
      </c>
      <c r="F47" s="334" t="e">
        <f>+F46</f>
        <v>#VALUE!</v>
      </c>
      <c r="G47" s="334" t="e">
        <f t="shared" ref="G47" si="14">SUM(D47:F47)</f>
        <v>#VALUE!</v>
      </c>
    </row>
    <row r="48" spans="1:15" x14ac:dyDescent="0.3">
      <c r="A48" t="s">
        <v>82</v>
      </c>
      <c r="B48" s="332" t="s">
        <v>83</v>
      </c>
      <c r="C48" s="332"/>
      <c r="D48" s="334" t="e">
        <f>IF(D47&gt;D9,D9,D47)</f>
        <v>#VALUE!</v>
      </c>
      <c r="E48" s="334" t="e">
        <f>+E47+(D47-D48)</f>
        <v>#VALUE!</v>
      </c>
      <c r="F48" s="334" t="e">
        <f>+F46</f>
        <v>#VALUE!</v>
      </c>
      <c r="G48" s="334" t="e">
        <f t="shared" si="12"/>
        <v>#VALUE!</v>
      </c>
    </row>
    <row r="49" spans="1:7" x14ac:dyDescent="0.3">
      <c r="A49" t="s">
        <v>84</v>
      </c>
      <c r="B49" s="332" t="s">
        <v>85</v>
      </c>
      <c r="C49" s="332"/>
      <c r="D49" s="334" t="e">
        <f>+D48+(E48-E49)</f>
        <v>#VALUE!</v>
      </c>
      <c r="E49" s="334" t="e">
        <f>IF(E48&gt;E9,E9,E48)</f>
        <v>#VALUE!</v>
      </c>
      <c r="F49" s="334" t="e">
        <f>+F48</f>
        <v>#VALUE!</v>
      </c>
      <c r="G49" s="334" t="e">
        <f t="shared" si="12"/>
        <v>#VALUE!</v>
      </c>
    </row>
    <row r="50" spans="1:7" x14ac:dyDescent="0.3">
      <c r="B50" s="335" t="s">
        <v>86</v>
      </c>
      <c r="C50" s="335"/>
      <c r="D50" s="333" t="e">
        <f>+D49+(E49-E50)</f>
        <v>#VALUE!</v>
      </c>
      <c r="E50" s="333" t="e">
        <f>IF(AND(E49&gt;10,E49&lt;E55,D49&gt;50),E55,E49)</f>
        <v>#VALUE!</v>
      </c>
      <c r="F50" s="333" t="e">
        <f>+F49</f>
        <v>#VALUE!</v>
      </c>
      <c r="G50" s="333" t="e">
        <f t="shared" si="12"/>
        <v>#VALUE!</v>
      </c>
    </row>
    <row r="51" spans="1:7" x14ac:dyDescent="0.3">
      <c r="A51" t="s">
        <v>87</v>
      </c>
      <c r="B51" s="332" t="s">
        <v>88</v>
      </c>
      <c r="C51" s="332"/>
      <c r="D51" s="334" t="e">
        <f>+D50+(E50-E51)</f>
        <v>#VALUE!</v>
      </c>
      <c r="E51" s="334" t="e">
        <f>+IF(E50=0,0,IF(E50&gt;=E55,E50,IF(D50&gt;=D55,0,E50)))</f>
        <v>#VALUE!</v>
      </c>
      <c r="F51" s="334" t="e">
        <f>+F50</f>
        <v>#VALUE!</v>
      </c>
      <c r="G51" s="334" t="e">
        <f t="shared" si="12"/>
        <v>#VALUE!</v>
      </c>
    </row>
    <row r="52" spans="1:7" x14ac:dyDescent="0.3">
      <c r="B52" s="332" t="s">
        <v>88</v>
      </c>
      <c r="C52" s="332"/>
      <c r="D52" s="334" t="e">
        <f>+D51</f>
        <v>#VALUE!</v>
      </c>
      <c r="E52" s="334" t="e">
        <f>+IF(E51=0,0,IF(E51&gt;=E55,E51,IF(F51&gt;=F55+E55,E55,IF(F51&gt;=F55,0,E51))))</f>
        <v>#VALUE!</v>
      </c>
      <c r="F52" s="334" t="e">
        <f>+F51+(E51-E52)</f>
        <v>#VALUE!</v>
      </c>
      <c r="G52" s="334" t="e">
        <f t="shared" si="12"/>
        <v>#VALUE!</v>
      </c>
    </row>
    <row r="53" spans="1:7" x14ac:dyDescent="0.3">
      <c r="D53" s="37"/>
      <c r="E53" s="37"/>
      <c r="F53" s="37"/>
      <c r="G53" s="37"/>
    </row>
    <row r="54" spans="1:7" x14ac:dyDescent="0.3">
      <c r="D54" s="37"/>
      <c r="E54" s="37"/>
      <c r="F54" s="37"/>
      <c r="G54" s="37"/>
    </row>
    <row r="55" spans="1:7" x14ac:dyDescent="0.3">
      <c r="B55" s="729" t="s">
        <v>89</v>
      </c>
      <c r="C55" s="729"/>
      <c r="D55" s="730">
        <v>20</v>
      </c>
      <c r="E55" s="730">
        <v>20</v>
      </c>
      <c r="F55" s="730">
        <v>20</v>
      </c>
      <c r="G55" s="37"/>
    </row>
    <row r="56" spans="1:7" x14ac:dyDescent="0.3">
      <c r="B56" s="729" t="s">
        <v>289</v>
      </c>
      <c r="C56" s="729"/>
      <c r="D56" s="730" t="e">
        <f>ROUND(D40,0)</f>
        <v>#VALUE!</v>
      </c>
      <c r="E56" s="730" t="e">
        <f>ROUND(E40,0)</f>
        <v>#VALUE!</v>
      </c>
      <c r="F56" s="730" t="e">
        <f>ROUND(F40,0)</f>
        <v>#VALUE!</v>
      </c>
      <c r="G56" s="37"/>
    </row>
    <row r="58" spans="1:7" x14ac:dyDescent="0.3">
      <c r="B58" s="286" t="s">
        <v>290</v>
      </c>
      <c r="C58" s="287"/>
      <c r="D58" s="287" t="e">
        <f>IF(INDEX(Hauptfrüchte!$BJ$6:$BJ$46,Programm!$BP$7)=1,J36,D56)</f>
        <v>#VALUE!</v>
      </c>
      <c r="E58" s="287" t="e">
        <f>IF(INDEX(Hauptfrüchte!$BJ$6:$BJ$46,Programm!$BP$7)=1,K36,E56)</f>
        <v>#VALUE!</v>
      </c>
      <c r="F58" s="731" t="e">
        <f>IF(INDEX(Hauptfrüchte!$BJ$6:$BJ$46,Programm!$BP$7)=1,L36,F56)</f>
        <v>#VALUE!</v>
      </c>
    </row>
    <row r="62" spans="1:7" x14ac:dyDescent="0.3">
      <c r="G62" s="37"/>
    </row>
    <row r="63" spans="1:7" x14ac:dyDescent="0.3">
      <c r="G63" s="37"/>
    </row>
    <row r="64" spans="1:7" x14ac:dyDescent="0.3">
      <c r="G64" s="37"/>
    </row>
    <row r="65" spans="7:7" x14ac:dyDescent="0.3">
      <c r="G65" s="37"/>
    </row>
    <row r="66" spans="7:7" x14ac:dyDescent="0.3">
      <c r="G66" s="37"/>
    </row>
    <row r="67" spans="7:7" x14ac:dyDescent="0.3">
      <c r="G67" s="37"/>
    </row>
    <row r="68" spans="7:7" x14ac:dyDescent="0.3">
      <c r="G68" s="37"/>
    </row>
    <row r="69" spans="7:7" x14ac:dyDescent="0.3">
      <c r="G69" s="37"/>
    </row>
  </sheetData>
  <phoneticPr fontId="24" type="noConversion"/>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0DF06-8439-4B48-9C0D-1D2ADBB20B6E}">
  <dimension ref="A1:BK46"/>
  <sheetViews>
    <sheetView zoomScale="80" zoomScaleNormal="80" workbookViewId="0">
      <pane xSplit="1" ySplit="6" topLeftCell="B7" activePane="bottomRight" state="frozen"/>
      <selection activeCell="I75" sqref="I75"/>
      <selection pane="topRight" activeCell="I75" sqref="I75"/>
      <selection pane="bottomLeft" activeCell="I75" sqref="I75"/>
      <selection pane="bottomRight" activeCell="AN28" sqref="AN28"/>
    </sheetView>
  </sheetViews>
  <sheetFormatPr baseColWidth="10" defaultColWidth="11.44140625" defaultRowHeight="14.4" x14ac:dyDescent="0.3"/>
  <cols>
    <col min="1" max="1" width="23" style="43" customWidth="1"/>
    <col min="2" max="2" width="5.6640625" style="43" customWidth="1"/>
    <col min="3" max="10" width="7.44140625" style="44" customWidth="1"/>
    <col min="11" max="14" width="8.88671875" style="44" customWidth="1"/>
    <col min="15" max="30" width="11.44140625" customWidth="1"/>
    <col min="31" max="31" width="8.88671875" style="671" customWidth="1"/>
    <col min="32" max="33" width="8.88671875" style="672" customWidth="1"/>
    <col min="34" max="34" width="8.88671875" style="673" customWidth="1"/>
    <col min="35" max="35" width="11.44140625" style="625"/>
    <col min="36" max="36" width="11.44140625" style="626"/>
    <col min="37" max="37" width="8.88671875" style="145" customWidth="1"/>
    <col min="38" max="39" width="8.88671875" style="363" customWidth="1"/>
    <col min="40" max="42" width="7.44140625" style="45" customWidth="1"/>
    <col min="43" max="48" width="5.109375" style="21" customWidth="1"/>
    <col min="49" max="54" width="4.6640625" style="21" customWidth="1"/>
    <col min="55" max="60" width="5.5546875" style="21" customWidth="1"/>
    <col min="61" max="16384" width="11.44140625" style="21"/>
  </cols>
  <sheetData>
    <row r="1" spans="1:63" s="686" customFormat="1" ht="15" thickBot="1" x14ac:dyDescent="0.35">
      <c r="A1" s="46" t="s">
        <v>490</v>
      </c>
      <c r="B1" t="s">
        <v>491</v>
      </c>
      <c r="C1" t="s">
        <v>492</v>
      </c>
      <c r="D1" t="s">
        <v>493</v>
      </c>
      <c r="E1" s="46" t="s">
        <v>494</v>
      </c>
      <c r="F1" t="s">
        <v>495</v>
      </c>
      <c r="G1" t="s">
        <v>496</v>
      </c>
      <c r="H1" t="s">
        <v>497</v>
      </c>
      <c r="I1" s="52" t="s">
        <v>498</v>
      </c>
      <c r="J1" s="52" t="s">
        <v>499</v>
      </c>
      <c r="K1" s="47" t="s">
        <v>453</v>
      </c>
      <c r="L1" s="47" t="s">
        <v>454</v>
      </c>
      <c r="M1" s="47" t="s">
        <v>455</v>
      </c>
      <c r="N1" s="47" t="s">
        <v>456</v>
      </c>
      <c r="O1" s="47" t="s">
        <v>457</v>
      </c>
      <c r="P1" s="47" t="s">
        <v>458</v>
      </c>
      <c r="Q1" s="46" t="s">
        <v>442</v>
      </c>
      <c r="R1" s="46" t="s">
        <v>459</v>
      </c>
      <c r="S1" s="46" t="s">
        <v>443</v>
      </c>
      <c r="T1" s="46" t="s">
        <v>460</v>
      </c>
      <c r="U1" s="46" t="s">
        <v>444</v>
      </c>
      <c r="V1" s="46" t="s">
        <v>461</v>
      </c>
      <c r="W1" s="46" t="s">
        <v>462</v>
      </c>
      <c r="X1" s="46" t="s">
        <v>463</v>
      </c>
      <c r="Y1" s="46" t="s">
        <v>445</v>
      </c>
      <c r="Z1" s="46" t="s">
        <v>464</v>
      </c>
      <c r="AA1" s="46" t="s">
        <v>446</v>
      </c>
      <c r="AB1" s="46" t="s">
        <v>465</v>
      </c>
      <c r="AC1" s="46" t="s">
        <v>447</v>
      </c>
      <c r="AD1" s="46" t="s">
        <v>466</v>
      </c>
      <c r="AE1" s="46" t="s">
        <v>467</v>
      </c>
      <c r="AF1" s="46" t="s">
        <v>468</v>
      </c>
      <c r="AG1" s="46" t="s">
        <v>469</v>
      </c>
      <c r="AH1" s="46" t="s">
        <v>448</v>
      </c>
      <c r="AI1" s="764" t="s">
        <v>500</v>
      </c>
      <c r="AJ1" s="46" t="s">
        <v>501</v>
      </c>
      <c r="AK1" t="s">
        <v>502</v>
      </c>
      <c r="AL1" s="46" t="s">
        <v>503</v>
      </c>
      <c r="AM1" s="46" t="s">
        <v>504</v>
      </c>
      <c r="AN1" t="s">
        <v>505</v>
      </c>
      <c r="AO1" t="s">
        <v>506</v>
      </c>
      <c r="AP1" t="s">
        <v>507</v>
      </c>
      <c r="AQ1" t="s">
        <v>508</v>
      </c>
      <c r="AR1" t="s">
        <v>509</v>
      </c>
      <c r="AS1" t="s">
        <v>510</v>
      </c>
      <c r="AT1" t="s">
        <v>511</v>
      </c>
      <c r="AU1" t="s">
        <v>512</v>
      </c>
      <c r="AV1" t="s">
        <v>513</v>
      </c>
      <c r="AW1" t="s">
        <v>514</v>
      </c>
      <c r="AX1" t="s">
        <v>515</v>
      </c>
      <c r="AY1" t="s">
        <v>516</v>
      </c>
      <c r="AZ1" t="s">
        <v>517</v>
      </c>
      <c r="BA1" t="s">
        <v>518</v>
      </c>
      <c r="BB1" t="s">
        <v>519</v>
      </c>
      <c r="BC1" t="s">
        <v>520</v>
      </c>
      <c r="BD1" t="s">
        <v>521</v>
      </c>
      <c r="BE1" t="s">
        <v>522</v>
      </c>
      <c r="BF1" t="s">
        <v>523</v>
      </c>
      <c r="BG1" t="s">
        <v>524</v>
      </c>
      <c r="BH1" t="s">
        <v>525</v>
      </c>
      <c r="BI1" s="46" t="s">
        <v>449</v>
      </c>
      <c r="BJ1" s="46" t="s">
        <v>526</v>
      </c>
      <c r="BK1" s="21"/>
    </row>
    <row r="2" spans="1:63" x14ac:dyDescent="0.3">
      <c r="A2" s="21" t="s">
        <v>90</v>
      </c>
      <c r="B2" s="794"/>
      <c r="C2" s="795"/>
      <c r="D2" s="795"/>
      <c r="E2" s="795"/>
      <c r="F2" s="666" t="s">
        <v>427</v>
      </c>
      <c r="G2" s="146"/>
      <c r="H2" s="146"/>
      <c r="I2" s="146"/>
      <c r="J2" s="146"/>
      <c r="K2" s="224"/>
      <c r="L2" s="225"/>
      <c r="M2" s="225"/>
      <c r="N2" s="226"/>
      <c r="O2" s="345"/>
      <c r="P2" s="346"/>
      <c r="Q2" s="346"/>
      <c r="R2" s="346"/>
      <c r="S2" s="346"/>
      <c r="T2" s="346"/>
      <c r="U2" s="346"/>
      <c r="V2" s="347"/>
      <c r="W2" s="345"/>
      <c r="X2" s="346"/>
      <c r="Y2" s="346"/>
      <c r="Z2" s="346"/>
      <c r="AA2" s="346"/>
      <c r="AB2" s="346"/>
      <c r="AC2" s="346"/>
      <c r="AD2" s="269"/>
      <c r="AE2" s="901" t="s">
        <v>283</v>
      </c>
      <c r="AF2" s="902"/>
      <c r="AG2" s="902"/>
      <c r="AH2" s="903"/>
      <c r="AI2" s="674"/>
      <c r="AJ2" s="675"/>
      <c r="AK2" s="892" t="s">
        <v>429</v>
      </c>
      <c r="AL2" s="893"/>
      <c r="AM2" s="894"/>
      <c r="AN2" s="370"/>
      <c r="AO2" s="371"/>
      <c r="AP2" s="372"/>
      <c r="AQ2" s="380"/>
      <c r="AR2" s="381"/>
      <c r="AS2" s="381" t="s">
        <v>365</v>
      </c>
      <c r="AT2" s="381"/>
      <c r="AU2" s="381"/>
      <c r="AV2" s="381"/>
      <c r="AW2" s="381"/>
      <c r="AX2" s="381"/>
      <c r="AY2" s="381"/>
      <c r="AZ2" s="381"/>
      <c r="BA2" s="381"/>
      <c r="BB2" s="381"/>
      <c r="BC2" s="381"/>
      <c r="BD2" s="381"/>
      <c r="BE2" s="381"/>
      <c r="BF2" s="381"/>
      <c r="BG2" s="381"/>
      <c r="BH2" s="382"/>
      <c r="BJ2" s="21" t="s">
        <v>338</v>
      </c>
    </row>
    <row r="3" spans="1:63" x14ac:dyDescent="0.3">
      <c r="B3" s="43" t="s">
        <v>17</v>
      </c>
      <c r="C3" s="44" t="s">
        <v>91</v>
      </c>
      <c r="D3" s="904" t="s">
        <v>18</v>
      </c>
      <c r="E3" s="904"/>
      <c r="F3" s="904"/>
      <c r="G3" s="904"/>
      <c r="H3" s="44" t="s">
        <v>19</v>
      </c>
      <c r="I3" s="44" t="s">
        <v>20</v>
      </c>
      <c r="J3" s="44" t="s">
        <v>21</v>
      </c>
      <c r="K3" s="898" t="s">
        <v>276</v>
      </c>
      <c r="L3" s="899"/>
      <c r="M3" s="899"/>
      <c r="N3" s="900"/>
      <c r="O3" s="898" t="s">
        <v>266</v>
      </c>
      <c r="P3" s="899"/>
      <c r="Q3" s="899"/>
      <c r="R3" s="899"/>
      <c r="S3" s="899"/>
      <c r="T3" s="899"/>
      <c r="U3" s="899"/>
      <c r="V3" s="900"/>
      <c r="W3" s="898" t="s">
        <v>278</v>
      </c>
      <c r="X3" s="899"/>
      <c r="Y3" s="899"/>
      <c r="Z3" s="899"/>
      <c r="AA3" s="899"/>
      <c r="AB3" s="899"/>
      <c r="AC3" s="899"/>
      <c r="AD3" s="900"/>
      <c r="AE3" s="905" t="s">
        <v>282</v>
      </c>
      <c r="AF3" s="906"/>
      <c r="AG3" s="906"/>
      <c r="AH3" s="907"/>
      <c r="AI3" s="676"/>
      <c r="AJ3" s="677"/>
      <c r="AK3" s="892"/>
      <c r="AL3" s="893"/>
      <c r="AM3" s="894"/>
      <c r="AN3" s="373"/>
      <c r="AO3" s="374"/>
      <c r="AP3" s="375"/>
      <c r="AQ3" s="383"/>
      <c r="AR3" s="384"/>
      <c r="AS3" s="384"/>
      <c r="AT3" s="384"/>
      <c r="AU3" s="384"/>
      <c r="AV3" s="384"/>
      <c r="AW3" s="384"/>
      <c r="AX3" s="384"/>
      <c r="AY3" s="384"/>
      <c r="AZ3" s="384"/>
      <c r="BA3" s="384"/>
      <c r="BB3" s="384"/>
      <c r="BC3" s="384"/>
      <c r="BD3" s="384"/>
      <c r="BE3" s="384"/>
      <c r="BF3" s="384"/>
      <c r="BG3" s="384"/>
      <c r="BH3" s="385"/>
      <c r="BJ3" s="21" t="s">
        <v>382</v>
      </c>
    </row>
    <row r="4" spans="1:63" x14ac:dyDescent="0.3">
      <c r="D4" s="44" t="s">
        <v>26</v>
      </c>
      <c r="E4" s="44">
        <v>1</v>
      </c>
      <c r="F4" s="44">
        <v>2</v>
      </c>
      <c r="G4" s="44">
        <v>3</v>
      </c>
      <c r="H4" s="44" t="s">
        <v>11</v>
      </c>
      <c r="I4" s="44" t="s">
        <v>7</v>
      </c>
      <c r="J4" s="44" t="s">
        <v>7</v>
      </c>
      <c r="K4" s="228"/>
      <c r="L4" s="908" t="s">
        <v>94</v>
      </c>
      <c r="M4" s="909"/>
      <c r="N4" s="910"/>
      <c r="O4" s="228"/>
      <c r="P4" s="267"/>
      <c r="Q4" s="267" t="s">
        <v>48</v>
      </c>
      <c r="R4" s="268"/>
      <c r="S4" s="267" t="s">
        <v>186</v>
      </c>
      <c r="T4" s="268"/>
      <c r="U4" s="269" t="s">
        <v>50</v>
      </c>
      <c r="V4" s="268"/>
      <c r="W4" s="228"/>
      <c r="X4" s="267"/>
      <c r="Y4" s="267" t="s">
        <v>48</v>
      </c>
      <c r="Z4" s="268"/>
      <c r="AA4" s="267" t="s">
        <v>186</v>
      </c>
      <c r="AB4" s="268"/>
      <c r="AC4" s="269" t="s">
        <v>50</v>
      </c>
      <c r="AD4" s="269"/>
      <c r="AE4" s="359"/>
      <c r="AF4" s="667" t="s">
        <v>94</v>
      </c>
      <c r="AG4" s="667"/>
      <c r="AH4" s="668"/>
      <c r="AI4" s="674"/>
      <c r="AJ4" s="675"/>
      <c r="AK4" s="895" t="s">
        <v>428</v>
      </c>
      <c r="AL4" s="896"/>
      <c r="AM4" s="897"/>
      <c r="AN4" s="376" t="s">
        <v>31</v>
      </c>
      <c r="AO4" s="179"/>
      <c r="AP4" s="377"/>
      <c r="AQ4" s="890" t="s">
        <v>430</v>
      </c>
      <c r="AR4" s="889"/>
      <c r="AS4" s="889"/>
      <c r="AT4" s="889"/>
      <c r="AU4" s="889"/>
      <c r="AV4" s="891"/>
      <c r="AW4" s="889" t="s">
        <v>431</v>
      </c>
      <c r="AX4" s="889"/>
      <c r="AY4" s="889"/>
      <c r="AZ4" s="889"/>
      <c r="BA4" s="889"/>
      <c r="BB4" s="889"/>
      <c r="BC4" s="890" t="s">
        <v>432</v>
      </c>
      <c r="BD4" s="889"/>
      <c r="BE4" s="889"/>
      <c r="BF4" s="889"/>
      <c r="BG4" s="889"/>
      <c r="BH4" s="891"/>
      <c r="BI4" s="21" t="s">
        <v>92</v>
      </c>
      <c r="BJ4" s="21" t="s">
        <v>383</v>
      </c>
    </row>
    <row r="5" spans="1:63" x14ac:dyDescent="0.3">
      <c r="K5" s="229" t="s">
        <v>93</v>
      </c>
      <c r="L5" s="231" t="s">
        <v>33</v>
      </c>
      <c r="M5" s="231" t="s">
        <v>34</v>
      </c>
      <c r="N5" s="231" t="s">
        <v>35</v>
      </c>
      <c r="O5" s="229" t="s">
        <v>93</v>
      </c>
      <c r="P5" s="227" t="s">
        <v>185</v>
      </c>
      <c r="Q5" s="230" t="s">
        <v>184</v>
      </c>
      <c r="R5" s="227" t="s">
        <v>185</v>
      </c>
      <c r="S5" s="230" t="s">
        <v>184</v>
      </c>
      <c r="T5" s="227" t="s">
        <v>185</v>
      </c>
      <c r="U5" s="230" t="s">
        <v>184</v>
      </c>
      <c r="V5" s="227" t="s">
        <v>185</v>
      </c>
      <c r="W5" s="229" t="s">
        <v>93</v>
      </c>
      <c r="X5" s="229"/>
      <c r="Y5" s="230" t="s">
        <v>184</v>
      </c>
      <c r="Z5" s="227" t="s">
        <v>185</v>
      </c>
      <c r="AA5" s="230" t="s">
        <v>184</v>
      </c>
      <c r="AB5" s="227" t="s">
        <v>185</v>
      </c>
      <c r="AC5" s="230" t="s">
        <v>184</v>
      </c>
      <c r="AD5" s="358" t="s">
        <v>185</v>
      </c>
      <c r="AE5" s="360" t="s">
        <v>93</v>
      </c>
      <c r="AF5" s="231" t="s">
        <v>33</v>
      </c>
      <c r="AG5" s="231" t="s">
        <v>34</v>
      </c>
      <c r="AH5" s="669" t="s">
        <v>35</v>
      </c>
      <c r="AI5" s="674" t="s">
        <v>188</v>
      </c>
      <c r="AJ5" s="675" t="s">
        <v>189</v>
      </c>
      <c r="AK5" s="146" t="s">
        <v>232</v>
      </c>
      <c r="AL5" s="267" t="s">
        <v>233</v>
      </c>
      <c r="AM5" s="267" t="s">
        <v>234</v>
      </c>
      <c r="AN5" s="376"/>
      <c r="AO5" s="179"/>
      <c r="AP5" s="377"/>
      <c r="AQ5" s="911" t="s">
        <v>95</v>
      </c>
      <c r="AR5" s="912"/>
      <c r="AS5" s="913"/>
      <c r="AT5" s="911" t="s">
        <v>96</v>
      </c>
      <c r="AU5" s="912"/>
      <c r="AV5" s="913"/>
      <c r="AW5" s="911" t="s">
        <v>95</v>
      </c>
      <c r="AX5" s="912"/>
      <c r="AY5" s="913"/>
      <c r="AZ5" s="911" t="s">
        <v>96</v>
      </c>
      <c r="BA5" s="912"/>
      <c r="BB5" s="913"/>
      <c r="BC5" s="911" t="s">
        <v>95</v>
      </c>
      <c r="BD5" s="912"/>
      <c r="BE5" s="913"/>
      <c r="BF5" s="889" t="s">
        <v>96</v>
      </c>
      <c r="BG5" s="889"/>
      <c r="BH5" s="891"/>
      <c r="BJ5" s="21" t="s">
        <v>384</v>
      </c>
    </row>
    <row r="6" spans="1:63" s="357" customFormat="1" ht="15" thickBot="1" x14ac:dyDescent="0.35">
      <c r="A6" s="351"/>
      <c r="B6" s="351"/>
      <c r="C6" s="352"/>
      <c r="D6" s="352"/>
      <c r="E6" s="352"/>
      <c r="F6" s="352"/>
      <c r="G6" s="352"/>
      <c r="H6" s="352"/>
      <c r="I6" s="352"/>
      <c r="J6" s="353"/>
      <c r="K6" s="354"/>
      <c r="L6" s="355"/>
      <c r="M6" s="355"/>
      <c r="N6" s="355"/>
      <c r="O6" s="365"/>
      <c r="P6" s="365"/>
      <c r="Q6" s="365"/>
      <c r="R6" s="366"/>
      <c r="S6" s="365"/>
      <c r="T6" s="366"/>
      <c r="U6" s="365"/>
      <c r="V6" s="366"/>
      <c r="W6" s="365"/>
      <c r="X6" s="365"/>
      <c r="Y6" s="365"/>
      <c r="Z6" s="366"/>
      <c r="AA6" s="365"/>
      <c r="AB6" s="366"/>
      <c r="AC6" s="365"/>
      <c r="AD6" s="367"/>
      <c r="AE6" s="361"/>
      <c r="AF6" s="355"/>
      <c r="AG6" s="355"/>
      <c r="AH6" s="670"/>
      <c r="AI6" s="364"/>
      <c r="AJ6" s="368"/>
      <c r="AK6" s="356"/>
      <c r="AL6" s="362"/>
      <c r="AM6" s="362"/>
      <c r="AN6" s="378" t="s">
        <v>33</v>
      </c>
      <c r="AO6" s="357" t="s">
        <v>34</v>
      </c>
      <c r="AP6" s="379" t="s">
        <v>35</v>
      </c>
      <c r="AQ6" s="678" t="s">
        <v>33</v>
      </c>
      <c r="AR6" s="679" t="s">
        <v>34</v>
      </c>
      <c r="AS6" s="680" t="s">
        <v>35</v>
      </c>
      <c r="AT6" s="678" t="s">
        <v>33</v>
      </c>
      <c r="AU6" s="679" t="s">
        <v>34</v>
      </c>
      <c r="AV6" s="680" t="s">
        <v>35</v>
      </c>
      <c r="AW6" s="678" t="s">
        <v>33</v>
      </c>
      <c r="AX6" s="679" t="s">
        <v>34</v>
      </c>
      <c r="AY6" s="680" t="s">
        <v>35</v>
      </c>
      <c r="AZ6" s="678" t="s">
        <v>33</v>
      </c>
      <c r="BA6" s="679" t="s">
        <v>34</v>
      </c>
      <c r="BB6" s="680" t="s">
        <v>35</v>
      </c>
      <c r="BC6" s="678" t="s">
        <v>33</v>
      </c>
      <c r="BD6" s="679" t="s">
        <v>34</v>
      </c>
      <c r="BE6" s="680" t="s">
        <v>35</v>
      </c>
      <c r="BF6" s="357" t="s">
        <v>33</v>
      </c>
      <c r="BG6" s="357" t="s">
        <v>34</v>
      </c>
      <c r="BH6" s="379" t="s">
        <v>35</v>
      </c>
      <c r="BI6" s="357">
        <v>1</v>
      </c>
    </row>
    <row r="7" spans="1:63" customFormat="1" x14ac:dyDescent="0.3">
      <c r="A7" t="s">
        <v>527</v>
      </c>
      <c r="K7" t="s">
        <v>528</v>
      </c>
      <c r="L7" t="s">
        <v>528</v>
      </c>
      <c r="M7" t="s">
        <v>528</v>
      </c>
      <c r="N7" t="s">
        <v>528</v>
      </c>
    </row>
    <row r="8" spans="1:63" customFormat="1" x14ac:dyDescent="0.3">
      <c r="A8" t="s">
        <v>97</v>
      </c>
      <c r="B8">
        <v>90</v>
      </c>
      <c r="C8">
        <v>80</v>
      </c>
      <c r="D8">
        <v>210</v>
      </c>
      <c r="E8">
        <v>110</v>
      </c>
      <c r="F8">
        <v>60</v>
      </c>
      <c r="G8">
        <v>40</v>
      </c>
      <c r="H8">
        <v>10</v>
      </c>
      <c r="I8">
        <v>10</v>
      </c>
      <c r="J8">
        <v>15</v>
      </c>
      <c r="K8" t="s">
        <v>528</v>
      </c>
      <c r="L8" t="s">
        <v>345</v>
      </c>
      <c r="M8" t="s">
        <v>28</v>
      </c>
      <c r="N8" t="s">
        <v>29</v>
      </c>
      <c r="P8">
        <v>0</v>
      </c>
      <c r="Q8" s="765">
        <v>46096</v>
      </c>
      <c r="R8">
        <v>10</v>
      </c>
      <c r="S8" s="765">
        <v>46137</v>
      </c>
      <c r="T8">
        <v>7</v>
      </c>
      <c r="U8" s="765">
        <v>46161</v>
      </c>
      <c r="V8">
        <v>7</v>
      </c>
      <c r="X8">
        <v>0</v>
      </c>
      <c r="Y8" s="765">
        <v>46086</v>
      </c>
      <c r="Z8">
        <v>33</v>
      </c>
      <c r="AA8" s="765">
        <v>46132</v>
      </c>
      <c r="AB8">
        <v>14</v>
      </c>
      <c r="AD8">
        <v>0</v>
      </c>
      <c r="AE8">
        <v>0</v>
      </c>
      <c r="AF8">
        <v>4</v>
      </c>
      <c r="AG8">
        <v>3</v>
      </c>
      <c r="AH8">
        <v>2</v>
      </c>
      <c r="AI8" s="765">
        <v>45940</v>
      </c>
      <c r="AJ8" s="765">
        <v>46239</v>
      </c>
      <c r="AK8">
        <v>30</v>
      </c>
      <c r="AL8">
        <v>0</v>
      </c>
      <c r="AM8">
        <v>0</v>
      </c>
      <c r="AN8">
        <v>80</v>
      </c>
      <c r="AO8">
        <v>80</v>
      </c>
      <c r="AP8">
        <v>80</v>
      </c>
      <c r="AQ8">
        <v>65</v>
      </c>
      <c r="AR8">
        <v>30</v>
      </c>
      <c r="AS8">
        <v>5</v>
      </c>
      <c r="AT8">
        <v>45</v>
      </c>
      <c r="AU8">
        <v>30</v>
      </c>
      <c r="AV8">
        <v>25</v>
      </c>
      <c r="AW8">
        <v>0</v>
      </c>
      <c r="AX8">
        <v>70</v>
      </c>
      <c r="AY8">
        <v>30</v>
      </c>
      <c r="AZ8">
        <v>0</v>
      </c>
      <c r="BA8">
        <v>60</v>
      </c>
      <c r="BB8">
        <v>40</v>
      </c>
      <c r="BC8">
        <v>0</v>
      </c>
      <c r="BD8">
        <v>0</v>
      </c>
      <c r="BE8">
        <v>100</v>
      </c>
      <c r="BF8">
        <v>0</v>
      </c>
      <c r="BG8">
        <v>0</v>
      </c>
      <c r="BH8">
        <v>100</v>
      </c>
      <c r="BI8">
        <v>3</v>
      </c>
      <c r="BJ8">
        <v>0</v>
      </c>
    </row>
    <row r="9" spans="1:63" customFormat="1" x14ac:dyDescent="0.3">
      <c r="A9" t="s">
        <v>99</v>
      </c>
      <c r="B9">
        <v>90</v>
      </c>
      <c r="C9">
        <v>80</v>
      </c>
      <c r="D9">
        <v>230</v>
      </c>
      <c r="E9">
        <v>110</v>
      </c>
      <c r="F9">
        <v>60</v>
      </c>
      <c r="G9">
        <v>60</v>
      </c>
      <c r="H9">
        <v>10</v>
      </c>
      <c r="I9">
        <v>10</v>
      </c>
      <c r="J9">
        <v>15</v>
      </c>
      <c r="K9" t="s">
        <v>528</v>
      </c>
      <c r="L9" t="s">
        <v>345</v>
      </c>
      <c r="M9" t="s">
        <v>28</v>
      </c>
      <c r="N9" t="s">
        <v>29</v>
      </c>
      <c r="P9">
        <v>0</v>
      </c>
      <c r="Q9" s="765">
        <v>46096</v>
      </c>
      <c r="R9">
        <v>10</v>
      </c>
      <c r="S9" s="765">
        <v>46137</v>
      </c>
      <c r="T9">
        <v>7</v>
      </c>
      <c r="U9" s="765">
        <v>46161</v>
      </c>
      <c r="V9">
        <v>7</v>
      </c>
      <c r="X9">
        <v>0</v>
      </c>
      <c r="Y9" s="765">
        <v>46086</v>
      </c>
      <c r="Z9">
        <v>33</v>
      </c>
      <c r="AA9" s="765">
        <v>46132</v>
      </c>
      <c r="AB9">
        <v>14</v>
      </c>
      <c r="AD9">
        <v>0</v>
      </c>
      <c r="AE9">
        <v>0</v>
      </c>
      <c r="AF9">
        <v>4</v>
      </c>
      <c r="AG9">
        <v>3</v>
      </c>
      <c r="AH9">
        <v>2</v>
      </c>
      <c r="AI9" s="765">
        <v>45940</v>
      </c>
      <c r="AJ9" s="765">
        <v>46239</v>
      </c>
      <c r="AK9">
        <v>30</v>
      </c>
      <c r="AL9">
        <v>0</v>
      </c>
      <c r="AM9">
        <v>0</v>
      </c>
      <c r="AN9">
        <v>80</v>
      </c>
      <c r="AO9">
        <v>80</v>
      </c>
      <c r="AP9">
        <v>100</v>
      </c>
      <c r="AQ9">
        <v>65</v>
      </c>
      <c r="AR9">
        <v>30</v>
      </c>
      <c r="AS9">
        <v>5</v>
      </c>
      <c r="AT9">
        <v>45</v>
      </c>
      <c r="AU9">
        <v>30</v>
      </c>
      <c r="AV9">
        <v>25</v>
      </c>
      <c r="AW9">
        <v>0</v>
      </c>
      <c r="AX9">
        <v>70</v>
      </c>
      <c r="AY9">
        <v>30</v>
      </c>
      <c r="AZ9">
        <v>0</v>
      </c>
      <c r="BA9">
        <v>60</v>
      </c>
      <c r="BB9">
        <v>40</v>
      </c>
      <c r="BC9">
        <v>0</v>
      </c>
      <c r="BD9">
        <v>0</v>
      </c>
      <c r="BE9">
        <v>100</v>
      </c>
      <c r="BF9">
        <v>0</v>
      </c>
      <c r="BG9">
        <v>0</v>
      </c>
      <c r="BH9">
        <v>100</v>
      </c>
      <c r="BI9">
        <v>3</v>
      </c>
      <c r="BJ9">
        <v>0</v>
      </c>
    </row>
    <row r="10" spans="1:63" customFormat="1" x14ac:dyDescent="0.3">
      <c r="A10" t="s">
        <v>100</v>
      </c>
      <c r="B10">
        <v>90</v>
      </c>
      <c r="C10">
        <v>80</v>
      </c>
      <c r="D10">
        <v>260</v>
      </c>
      <c r="E10">
        <v>110</v>
      </c>
      <c r="F10">
        <v>60</v>
      </c>
      <c r="G10">
        <v>90</v>
      </c>
      <c r="H10">
        <v>10</v>
      </c>
      <c r="I10">
        <v>10</v>
      </c>
      <c r="J10">
        <v>15</v>
      </c>
      <c r="K10" t="s">
        <v>528</v>
      </c>
      <c r="L10" t="s">
        <v>345</v>
      </c>
      <c r="M10" t="s">
        <v>28</v>
      </c>
      <c r="N10" t="s">
        <v>279</v>
      </c>
      <c r="P10">
        <v>0</v>
      </c>
      <c r="Q10" s="765">
        <v>46096</v>
      </c>
      <c r="R10">
        <v>10</v>
      </c>
      <c r="S10" s="765">
        <v>46137</v>
      </c>
      <c r="T10">
        <v>7</v>
      </c>
      <c r="U10" s="765">
        <v>46167</v>
      </c>
      <c r="V10">
        <v>7</v>
      </c>
      <c r="X10">
        <v>0</v>
      </c>
      <c r="Y10" s="765">
        <v>46086</v>
      </c>
      <c r="Z10">
        <v>33</v>
      </c>
      <c r="AA10" s="765">
        <v>46132</v>
      </c>
      <c r="AB10">
        <v>14</v>
      </c>
      <c r="AD10">
        <v>0</v>
      </c>
      <c r="AE10">
        <v>0</v>
      </c>
      <c r="AF10">
        <v>3</v>
      </c>
      <c r="AG10">
        <v>3</v>
      </c>
      <c r="AH10">
        <v>4</v>
      </c>
      <c r="AI10" s="765">
        <v>45940</v>
      </c>
      <c r="AJ10" s="765">
        <v>46239</v>
      </c>
      <c r="AK10">
        <v>0</v>
      </c>
      <c r="AL10">
        <v>0</v>
      </c>
      <c r="AM10">
        <v>30</v>
      </c>
      <c r="AN10">
        <v>80</v>
      </c>
      <c r="AO10">
        <v>80</v>
      </c>
      <c r="AP10">
        <v>100</v>
      </c>
      <c r="AQ10">
        <v>65</v>
      </c>
      <c r="AR10">
        <v>30</v>
      </c>
      <c r="AS10">
        <v>5</v>
      </c>
      <c r="AT10">
        <v>45</v>
      </c>
      <c r="AU10">
        <v>30</v>
      </c>
      <c r="AV10">
        <v>25</v>
      </c>
      <c r="AW10">
        <v>0</v>
      </c>
      <c r="AX10">
        <v>70</v>
      </c>
      <c r="AY10">
        <v>30</v>
      </c>
      <c r="AZ10">
        <v>0</v>
      </c>
      <c r="BA10">
        <v>60</v>
      </c>
      <c r="BB10">
        <v>40</v>
      </c>
      <c r="BC10">
        <v>0</v>
      </c>
      <c r="BD10">
        <v>0</v>
      </c>
      <c r="BE10">
        <v>100</v>
      </c>
      <c r="BF10">
        <v>0</v>
      </c>
      <c r="BG10">
        <v>0</v>
      </c>
      <c r="BH10">
        <v>100</v>
      </c>
      <c r="BI10">
        <v>3</v>
      </c>
      <c r="BJ10">
        <v>0</v>
      </c>
    </row>
    <row r="11" spans="1:63" customFormat="1" x14ac:dyDescent="0.3">
      <c r="A11" t="s">
        <v>101</v>
      </c>
      <c r="B11">
        <v>90</v>
      </c>
      <c r="C11">
        <v>80</v>
      </c>
      <c r="D11">
        <v>180</v>
      </c>
      <c r="E11">
        <v>120</v>
      </c>
      <c r="F11">
        <v>60</v>
      </c>
      <c r="G11">
        <v>0</v>
      </c>
      <c r="H11">
        <v>10</v>
      </c>
      <c r="I11">
        <v>10</v>
      </c>
      <c r="J11">
        <v>15</v>
      </c>
      <c r="K11" t="s">
        <v>528</v>
      </c>
      <c r="L11" t="s">
        <v>345</v>
      </c>
      <c r="M11" t="s">
        <v>28</v>
      </c>
      <c r="N11" t="s">
        <v>528</v>
      </c>
      <c r="P11">
        <v>0</v>
      </c>
      <c r="Q11" s="765">
        <v>46096</v>
      </c>
      <c r="R11">
        <v>10</v>
      </c>
      <c r="S11" s="765">
        <v>46137</v>
      </c>
      <c r="T11">
        <v>7</v>
      </c>
      <c r="V11">
        <v>0</v>
      </c>
      <c r="X11">
        <v>0</v>
      </c>
      <c r="Y11" s="765">
        <v>46086</v>
      </c>
      <c r="Z11">
        <v>33</v>
      </c>
      <c r="AA11" s="765">
        <v>46132</v>
      </c>
      <c r="AB11">
        <v>14</v>
      </c>
      <c r="AD11">
        <v>0</v>
      </c>
      <c r="AE11">
        <v>0</v>
      </c>
      <c r="AF11">
        <v>4</v>
      </c>
      <c r="AG11">
        <v>3</v>
      </c>
      <c r="AH11">
        <v>0</v>
      </c>
      <c r="AI11" s="765">
        <v>45940</v>
      </c>
      <c r="AJ11" s="765">
        <v>46239</v>
      </c>
      <c r="AK11">
        <v>30</v>
      </c>
      <c r="AL11">
        <v>0</v>
      </c>
      <c r="AM11">
        <v>0</v>
      </c>
      <c r="AN11">
        <v>80</v>
      </c>
      <c r="AO11">
        <v>80</v>
      </c>
      <c r="AP11">
        <v>0</v>
      </c>
      <c r="AQ11">
        <v>65</v>
      </c>
      <c r="AR11">
        <v>35</v>
      </c>
      <c r="AS11">
        <v>0</v>
      </c>
      <c r="AT11">
        <v>50</v>
      </c>
      <c r="AU11">
        <v>50</v>
      </c>
      <c r="AV11">
        <v>0</v>
      </c>
      <c r="AW11">
        <v>0</v>
      </c>
      <c r="AX11">
        <v>100</v>
      </c>
      <c r="AY11">
        <v>0</v>
      </c>
      <c r="AZ11">
        <v>0</v>
      </c>
      <c r="BA11">
        <v>100</v>
      </c>
      <c r="BB11">
        <v>0</v>
      </c>
      <c r="BC11">
        <v>0</v>
      </c>
      <c r="BD11">
        <v>100</v>
      </c>
      <c r="BE11">
        <v>0</v>
      </c>
      <c r="BF11">
        <v>0</v>
      </c>
      <c r="BG11">
        <v>100</v>
      </c>
      <c r="BH11">
        <v>0</v>
      </c>
      <c r="BI11">
        <v>2</v>
      </c>
      <c r="BJ11">
        <v>0</v>
      </c>
    </row>
    <row r="12" spans="1:63" customFormat="1" x14ac:dyDescent="0.3">
      <c r="A12" t="s">
        <v>102</v>
      </c>
      <c r="B12">
        <v>90</v>
      </c>
      <c r="C12">
        <v>70</v>
      </c>
      <c r="D12">
        <v>220</v>
      </c>
      <c r="E12">
        <v>110</v>
      </c>
      <c r="F12">
        <v>50</v>
      </c>
      <c r="G12">
        <v>60</v>
      </c>
      <c r="H12">
        <v>10</v>
      </c>
      <c r="I12">
        <v>10</v>
      </c>
      <c r="J12">
        <v>15</v>
      </c>
      <c r="K12" t="s">
        <v>528</v>
      </c>
      <c r="L12" t="s">
        <v>112</v>
      </c>
      <c r="M12" t="s">
        <v>28</v>
      </c>
      <c r="N12" t="s">
        <v>279</v>
      </c>
      <c r="P12">
        <v>0</v>
      </c>
      <c r="Q12" s="765">
        <v>46101</v>
      </c>
      <c r="R12">
        <v>10</v>
      </c>
      <c r="S12" s="765">
        <v>46143</v>
      </c>
      <c r="T12">
        <v>7</v>
      </c>
      <c r="U12" s="765">
        <v>46167</v>
      </c>
      <c r="V12">
        <v>7</v>
      </c>
      <c r="X12">
        <v>0</v>
      </c>
      <c r="Y12" s="765">
        <v>46086</v>
      </c>
      <c r="Z12">
        <v>5</v>
      </c>
      <c r="AA12" s="765">
        <v>46137</v>
      </c>
      <c r="AB12">
        <v>14</v>
      </c>
      <c r="AD12">
        <v>0</v>
      </c>
      <c r="AE12">
        <v>0</v>
      </c>
      <c r="AF12">
        <v>4</v>
      </c>
      <c r="AG12">
        <v>3</v>
      </c>
      <c r="AH12">
        <v>3</v>
      </c>
      <c r="AI12" s="765">
        <v>46091</v>
      </c>
      <c r="AJ12" s="765">
        <v>46249</v>
      </c>
      <c r="AK12">
        <v>30</v>
      </c>
      <c r="AL12">
        <v>0</v>
      </c>
      <c r="AM12">
        <v>0</v>
      </c>
      <c r="AN12">
        <v>80</v>
      </c>
      <c r="AO12">
        <v>80</v>
      </c>
      <c r="AP12">
        <v>80</v>
      </c>
      <c r="AQ12">
        <v>65</v>
      </c>
      <c r="AR12">
        <v>30</v>
      </c>
      <c r="AS12">
        <v>5</v>
      </c>
      <c r="AT12">
        <v>45</v>
      </c>
      <c r="AU12">
        <v>30</v>
      </c>
      <c r="AV12">
        <v>25</v>
      </c>
      <c r="AW12">
        <v>0</v>
      </c>
      <c r="AX12">
        <v>70</v>
      </c>
      <c r="AY12">
        <v>30</v>
      </c>
      <c r="AZ12">
        <v>0</v>
      </c>
      <c r="BA12">
        <v>60</v>
      </c>
      <c r="BB12">
        <v>40</v>
      </c>
      <c r="BC12">
        <v>0</v>
      </c>
      <c r="BD12">
        <v>0</v>
      </c>
      <c r="BE12">
        <v>100</v>
      </c>
      <c r="BF12">
        <v>0</v>
      </c>
      <c r="BG12">
        <v>0</v>
      </c>
      <c r="BH12">
        <v>100</v>
      </c>
      <c r="BI12">
        <v>3</v>
      </c>
      <c r="BJ12">
        <v>0</v>
      </c>
    </row>
    <row r="13" spans="1:63" customFormat="1" x14ac:dyDescent="0.3">
      <c r="A13" t="s">
        <v>103</v>
      </c>
      <c r="B13">
        <v>90</v>
      </c>
      <c r="C13">
        <v>70</v>
      </c>
      <c r="D13">
        <v>180</v>
      </c>
      <c r="E13">
        <v>90</v>
      </c>
      <c r="F13">
        <v>40</v>
      </c>
      <c r="G13">
        <v>50</v>
      </c>
      <c r="H13">
        <v>10</v>
      </c>
      <c r="I13">
        <v>10</v>
      </c>
      <c r="J13">
        <v>15</v>
      </c>
      <c r="K13" s="729"/>
      <c r="L13" t="s">
        <v>345</v>
      </c>
      <c r="M13" t="s">
        <v>280</v>
      </c>
      <c r="N13" t="s">
        <v>29</v>
      </c>
      <c r="O13" s="796"/>
      <c r="P13" s="729">
        <v>0</v>
      </c>
      <c r="Q13" s="765">
        <v>46091</v>
      </c>
      <c r="R13">
        <v>10</v>
      </c>
      <c r="S13" s="765">
        <v>46116</v>
      </c>
      <c r="T13">
        <v>5</v>
      </c>
      <c r="U13" s="765">
        <v>46138</v>
      </c>
      <c r="V13">
        <v>5</v>
      </c>
      <c r="X13">
        <v>0</v>
      </c>
      <c r="Y13" s="765">
        <v>46078</v>
      </c>
      <c r="Z13">
        <v>25</v>
      </c>
      <c r="AA13" s="765">
        <v>46111</v>
      </c>
      <c r="AB13">
        <v>10</v>
      </c>
      <c r="AD13">
        <v>0</v>
      </c>
      <c r="AE13">
        <v>1</v>
      </c>
      <c r="AF13">
        <v>3</v>
      </c>
      <c r="AG13">
        <v>3</v>
      </c>
      <c r="AH13">
        <v>3</v>
      </c>
      <c r="AI13" s="765">
        <v>45923</v>
      </c>
      <c r="AJ13" s="765">
        <v>46211</v>
      </c>
      <c r="AK13">
        <v>0</v>
      </c>
      <c r="AL13">
        <v>30</v>
      </c>
      <c r="AM13">
        <v>0</v>
      </c>
      <c r="AN13">
        <v>60</v>
      </c>
      <c r="AO13">
        <v>80</v>
      </c>
      <c r="AP13">
        <v>80</v>
      </c>
      <c r="AQ13">
        <v>60</v>
      </c>
      <c r="AR13">
        <v>30</v>
      </c>
      <c r="AS13">
        <v>10</v>
      </c>
      <c r="AT13">
        <v>40</v>
      </c>
      <c r="AU13">
        <v>30</v>
      </c>
      <c r="AV13">
        <v>30</v>
      </c>
      <c r="AW13">
        <v>0</v>
      </c>
      <c r="AX13">
        <v>70</v>
      </c>
      <c r="AY13">
        <v>30</v>
      </c>
      <c r="AZ13">
        <v>0</v>
      </c>
      <c r="BA13">
        <v>60</v>
      </c>
      <c r="BB13">
        <v>40</v>
      </c>
      <c r="BC13">
        <v>0</v>
      </c>
      <c r="BD13">
        <v>0</v>
      </c>
      <c r="BE13">
        <v>100</v>
      </c>
      <c r="BF13">
        <v>0</v>
      </c>
      <c r="BG13">
        <v>0</v>
      </c>
      <c r="BH13">
        <v>100</v>
      </c>
      <c r="BI13">
        <v>3</v>
      </c>
      <c r="BJ13">
        <v>3</v>
      </c>
    </row>
    <row r="14" spans="1:63" customFormat="1" x14ac:dyDescent="0.3">
      <c r="A14" t="s">
        <v>105</v>
      </c>
      <c r="B14">
        <v>90</v>
      </c>
      <c r="C14">
        <v>70</v>
      </c>
      <c r="D14">
        <v>180</v>
      </c>
      <c r="E14">
        <v>110</v>
      </c>
      <c r="F14">
        <v>40</v>
      </c>
      <c r="G14">
        <v>30</v>
      </c>
      <c r="H14">
        <v>10</v>
      </c>
      <c r="I14">
        <v>10</v>
      </c>
      <c r="J14">
        <v>15</v>
      </c>
      <c r="K14" s="729"/>
      <c r="L14" t="s">
        <v>345</v>
      </c>
      <c r="M14" t="s">
        <v>280</v>
      </c>
      <c r="N14" t="s">
        <v>29</v>
      </c>
      <c r="O14" s="796"/>
      <c r="P14" s="729">
        <v>0</v>
      </c>
      <c r="Q14" s="765">
        <v>46086</v>
      </c>
      <c r="R14">
        <v>10</v>
      </c>
      <c r="S14" s="765">
        <v>46116</v>
      </c>
      <c r="T14">
        <v>5</v>
      </c>
      <c r="U14" s="765">
        <v>46138</v>
      </c>
      <c r="V14">
        <v>5</v>
      </c>
      <c r="X14">
        <v>0</v>
      </c>
      <c r="Y14" s="765">
        <v>46078</v>
      </c>
      <c r="Z14">
        <v>25</v>
      </c>
      <c r="AA14" s="765">
        <v>46111</v>
      </c>
      <c r="AB14">
        <v>10</v>
      </c>
      <c r="AD14">
        <v>0</v>
      </c>
      <c r="AE14">
        <v>1</v>
      </c>
      <c r="AF14">
        <v>4</v>
      </c>
      <c r="AG14">
        <v>3</v>
      </c>
      <c r="AH14">
        <v>2</v>
      </c>
      <c r="AI14" s="765">
        <v>45923</v>
      </c>
      <c r="AJ14" s="765">
        <v>46211</v>
      </c>
      <c r="AK14">
        <v>30</v>
      </c>
      <c r="AL14">
        <v>0</v>
      </c>
      <c r="AM14">
        <v>0</v>
      </c>
      <c r="AN14">
        <v>80</v>
      </c>
      <c r="AO14">
        <v>80</v>
      </c>
      <c r="AP14">
        <v>60</v>
      </c>
      <c r="AQ14">
        <v>60</v>
      </c>
      <c r="AR14">
        <v>30</v>
      </c>
      <c r="AS14">
        <v>10</v>
      </c>
      <c r="AT14">
        <v>40</v>
      </c>
      <c r="AU14">
        <v>30</v>
      </c>
      <c r="AV14">
        <v>30</v>
      </c>
      <c r="AW14">
        <v>0</v>
      </c>
      <c r="AX14">
        <v>70</v>
      </c>
      <c r="AY14">
        <v>30</v>
      </c>
      <c r="AZ14">
        <v>0</v>
      </c>
      <c r="BA14">
        <v>60</v>
      </c>
      <c r="BB14">
        <v>40</v>
      </c>
      <c r="BC14">
        <v>0</v>
      </c>
      <c r="BD14">
        <v>0</v>
      </c>
      <c r="BE14">
        <v>100</v>
      </c>
      <c r="BF14">
        <v>0</v>
      </c>
      <c r="BG14">
        <v>0</v>
      </c>
      <c r="BH14">
        <v>100</v>
      </c>
      <c r="BI14">
        <v>3</v>
      </c>
      <c r="BJ14">
        <v>3</v>
      </c>
    </row>
    <row r="15" spans="1:63" customFormat="1" x14ac:dyDescent="0.3">
      <c r="A15" t="s">
        <v>529</v>
      </c>
      <c r="B15">
        <v>90</v>
      </c>
      <c r="C15">
        <v>70</v>
      </c>
      <c r="D15">
        <v>160</v>
      </c>
      <c r="E15">
        <v>120</v>
      </c>
      <c r="F15">
        <v>40</v>
      </c>
      <c r="G15">
        <v>0</v>
      </c>
      <c r="H15">
        <v>10</v>
      </c>
      <c r="I15">
        <v>10</v>
      </c>
      <c r="J15">
        <v>15</v>
      </c>
      <c r="K15" s="729"/>
      <c r="L15" t="s">
        <v>345</v>
      </c>
      <c r="M15" t="s">
        <v>280</v>
      </c>
      <c r="N15" t="s">
        <v>528</v>
      </c>
      <c r="O15" s="796"/>
      <c r="P15" s="729">
        <v>0</v>
      </c>
      <c r="Q15" s="765">
        <v>46086</v>
      </c>
      <c r="R15">
        <v>10</v>
      </c>
      <c r="S15" s="765">
        <v>46116</v>
      </c>
      <c r="T15">
        <v>5</v>
      </c>
      <c r="V15">
        <v>0</v>
      </c>
      <c r="X15">
        <v>0</v>
      </c>
      <c r="Y15" s="765">
        <v>46078</v>
      </c>
      <c r="Z15">
        <v>25</v>
      </c>
      <c r="AA15" s="765">
        <v>46111</v>
      </c>
      <c r="AB15">
        <v>10</v>
      </c>
      <c r="AD15">
        <v>0</v>
      </c>
      <c r="AE15">
        <v>1</v>
      </c>
      <c r="AF15">
        <v>4</v>
      </c>
      <c r="AG15">
        <v>3</v>
      </c>
      <c r="AH15">
        <v>0</v>
      </c>
      <c r="AI15" s="765">
        <v>45923</v>
      </c>
      <c r="AJ15" s="765">
        <v>46211</v>
      </c>
      <c r="AK15">
        <v>50</v>
      </c>
      <c r="AL15">
        <v>0</v>
      </c>
      <c r="AM15">
        <v>0</v>
      </c>
      <c r="AN15">
        <v>80</v>
      </c>
      <c r="AO15">
        <v>60</v>
      </c>
      <c r="AP15">
        <v>0</v>
      </c>
      <c r="AQ15">
        <v>60</v>
      </c>
      <c r="AR15">
        <v>40</v>
      </c>
      <c r="AS15">
        <v>0</v>
      </c>
      <c r="AT15">
        <v>50</v>
      </c>
      <c r="AU15">
        <v>50</v>
      </c>
      <c r="AV15">
        <v>0</v>
      </c>
      <c r="AW15">
        <v>0</v>
      </c>
      <c r="AX15">
        <v>100</v>
      </c>
      <c r="AY15">
        <v>0</v>
      </c>
      <c r="AZ15">
        <v>0</v>
      </c>
      <c r="BA15">
        <v>100</v>
      </c>
      <c r="BB15">
        <v>0</v>
      </c>
      <c r="BC15">
        <v>0</v>
      </c>
      <c r="BD15">
        <v>100</v>
      </c>
      <c r="BE15">
        <v>0</v>
      </c>
      <c r="BF15">
        <v>0</v>
      </c>
      <c r="BG15">
        <v>100</v>
      </c>
      <c r="BH15">
        <v>0</v>
      </c>
      <c r="BI15">
        <v>2</v>
      </c>
      <c r="BJ15">
        <v>3</v>
      </c>
    </row>
    <row r="16" spans="1:63" customFormat="1" x14ac:dyDescent="0.3">
      <c r="A16" t="s">
        <v>106</v>
      </c>
      <c r="B16">
        <v>60</v>
      </c>
      <c r="C16">
        <v>50</v>
      </c>
      <c r="D16">
        <v>140</v>
      </c>
      <c r="E16">
        <v>100</v>
      </c>
      <c r="F16">
        <v>40</v>
      </c>
      <c r="G16">
        <v>0</v>
      </c>
      <c r="H16">
        <v>10</v>
      </c>
      <c r="I16">
        <v>10</v>
      </c>
      <c r="J16">
        <v>15</v>
      </c>
      <c r="K16" t="s">
        <v>528</v>
      </c>
      <c r="L16" t="s">
        <v>112</v>
      </c>
      <c r="M16" t="s">
        <v>280</v>
      </c>
      <c r="N16" t="s">
        <v>528</v>
      </c>
      <c r="P16">
        <v>0</v>
      </c>
      <c r="Q16" s="765">
        <v>46101</v>
      </c>
      <c r="R16">
        <v>10</v>
      </c>
      <c r="S16" s="765">
        <v>46143</v>
      </c>
      <c r="T16">
        <v>7</v>
      </c>
      <c r="V16">
        <v>0</v>
      </c>
      <c r="X16">
        <v>0</v>
      </c>
      <c r="Y16" s="765">
        <v>46086</v>
      </c>
      <c r="Z16">
        <v>5</v>
      </c>
      <c r="AA16" s="765">
        <v>46137</v>
      </c>
      <c r="AB16">
        <v>14</v>
      </c>
      <c r="AD16">
        <v>0</v>
      </c>
      <c r="AE16">
        <v>0</v>
      </c>
      <c r="AF16">
        <v>4</v>
      </c>
      <c r="AG16">
        <v>3</v>
      </c>
      <c r="AH16">
        <v>0</v>
      </c>
      <c r="AI16" s="765">
        <v>46091</v>
      </c>
      <c r="AJ16" s="765">
        <v>46239</v>
      </c>
      <c r="AK16">
        <v>30</v>
      </c>
      <c r="AL16">
        <v>0</v>
      </c>
      <c r="AM16">
        <v>0</v>
      </c>
      <c r="AN16">
        <v>80</v>
      </c>
      <c r="AO16">
        <v>80</v>
      </c>
      <c r="AP16">
        <v>0</v>
      </c>
      <c r="AQ16">
        <v>65</v>
      </c>
      <c r="AR16">
        <v>35</v>
      </c>
      <c r="AS16">
        <v>0</v>
      </c>
      <c r="AT16">
        <v>50</v>
      </c>
      <c r="AU16">
        <v>50</v>
      </c>
      <c r="AV16">
        <v>0</v>
      </c>
      <c r="AW16">
        <v>0</v>
      </c>
      <c r="AX16">
        <v>100</v>
      </c>
      <c r="AY16">
        <v>0</v>
      </c>
      <c r="AZ16">
        <v>0</v>
      </c>
      <c r="BA16">
        <v>100</v>
      </c>
      <c r="BB16">
        <v>0</v>
      </c>
      <c r="BC16">
        <v>0</v>
      </c>
      <c r="BD16">
        <v>100</v>
      </c>
      <c r="BE16">
        <v>0</v>
      </c>
      <c r="BF16">
        <v>0</v>
      </c>
      <c r="BG16">
        <v>100</v>
      </c>
      <c r="BH16">
        <v>0</v>
      </c>
      <c r="BI16">
        <v>2</v>
      </c>
      <c r="BJ16">
        <v>0</v>
      </c>
    </row>
    <row r="17" spans="1:62" customFormat="1" x14ac:dyDescent="0.3">
      <c r="A17" t="s">
        <v>107</v>
      </c>
      <c r="B17">
        <v>60</v>
      </c>
      <c r="C17">
        <v>50</v>
      </c>
      <c r="D17">
        <v>120</v>
      </c>
      <c r="E17">
        <v>110</v>
      </c>
      <c r="F17">
        <v>10</v>
      </c>
      <c r="G17">
        <v>0</v>
      </c>
      <c r="H17">
        <v>10</v>
      </c>
      <c r="I17">
        <v>10</v>
      </c>
      <c r="J17">
        <v>15</v>
      </c>
      <c r="K17" t="s">
        <v>528</v>
      </c>
      <c r="L17" t="s">
        <v>112</v>
      </c>
      <c r="M17" t="s">
        <v>280</v>
      </c>
      <c r="N17" t="s">
        <v>528</v>
      </c>
      <c r="P17">
        <v>0</v>
      </c>
      <c r="Q17" s="765">
        <v>46101</v>
      </c>
      <c r="R17">
        <v>10</v>
      </c>
      <c r="S17" s="765">
        <v>46143</v>
      </c>
      <c r="T17">
        <v>7</v>
      </c>
      <c r="V17">
        <v>0</v>
      </c>
      <c r="X17">
        <v>0</v>
      </c>
      <c r="Y17" s="765">
        <v>46086</v>
      </c>
      <c r="Z17">
        <v>5</v>
      </c>
      <c r="AB17">
        <v>0</v>
      </c>
      <c r="AD17">
        <v>0</v>
      </c>
      <c r="AE17">
        <v>0</v>
      </c>
      <c r="AF17">
        <v>4</v>
      </c>
      <c r="AG17">
        <v>2</v>
      </c>
      <c r="AH17">
        <v>0</v>
      </c>
      <c r="AI17" s="765">
        <v>46091</v>
      </c>
      <c r="AJ17" s="765">
        <v>46239</v>
      </c>
      <c r="AK17">
        <v>50</v>
      </c>
      <c r="AL17">
        <v>0</v>
      </c>
      <c r="AM17">
        <v>0</v>
      </c>
      <c r="AN17">
        <v>80</v>
      </c>
      <c r="AO17">
        <v>30</v>
      </c>
      <c r="AP17">
        <v>0</v>
      </c>
      <c r="AQ17">
        <v>65</v>
      </c>
      <c r="AR17">
        <v>35</v>
      </c>
      <c r="AS17">
        <v>0</v>
      </c>
      <c r="AT17">
        <v>50</v>
      </c>
      <c r="AU17">
        <v>50</v>
      </c>
      <c r="AV17">
        <v>0</v>
      </c>
      <c r="AW17">
        <v>0</v>
      </c>
      <c r="AX17">
        <v>100</v>
      </c>
      <c r="AY17">
        <v>0</v>
      </c>
      <c r="AZ17">
        <v>0</v>
      </c>
      <c r="BA17">
        <v>100</v>
      </c>
      <c r="BB17">
        <v>0</v>
      </c>
      <c r="BC17">
        <v>0</v>
      </c>
      <c r="BD17">
        <v>100</v>
      </c>
      <c r="BE17">
        <v>0</v>
      </c>
      <c r="BF17">
        <v>0</v>
      </c>
      <c r="BG17">
        <v>100</v>
      </c>
      <c r="BH17">
        <v>0</v>
      </c>
      <c r="BI17">
        <v>2</v>
      </c>
      <c r="BJ17">
        <v>0</v>
      </c>
    </row>
    <row r="18" spans="1:62" customFormat="1" x14ac:dyDescent="0.3">
      <c r="A18" t="s">
        <v>108</v>
      </c>
      <c r="B18">
        <v>90</v>
      </c>
      <c r="C18">
        <v>70</v>
      </c>
      <c r="D18">
        <v>170</v>
      </c>
      <c r="E18">
        <v>100</v>
      </c>
      <c r="F18">
        <v>40</v>
      </c>
      <c r="G18">
        <v>30</v>
      </c>
      <c r="H18">
        <v>10</v>
      </c>
      <c r="I18">
        <v>10</v>
      </c>
      <c r="J18">
        <v>15</v>
      </c>
      <c r="K18" t="s">
        <v>528</v>
      </c>
      <c r="L18" t="s">
        <v>345</v>
      </c>
      <c r="M18" t="s">
        <v>28</v>
      </c>
      <c r="N18" t="s">
        <v>29</v>
      </c>
      <c r="P18">
        <v>0</v>
      </c>
      <c r="Q18" s="765">
        <v>46091</v>
      </c>
      <c r="R18">
        <v>10</v>
      </c>
      <c r="S18" s="765">
        <v>46126</v>
      </c>
      <c r="T18">
        <v>7</v>
      </c>
      <c r="U18" s="765">
        <v>46147</v>
      </c>
      <c r="V18">
        <v>7</v>
      </c>
      <c r="X18">
        <v>0</v>
      </c>
      <c r="Y18" s="765">
        <v>46086</v>
      </c>
      <c r="Z18">
        <v>33</v>
      </c>
      <c r="AA18" s="765">
        <v>46120</v>
      </c>
      <c r="AB18">
        <v>14</v>
      </c>
      <c r="AD18">
        <v>0</v>
      </c>
      <c r="AE18">
        <v>0</v>
      </c>
      <c r="AF18">
        <v>4</v>
      </c>
      <c r="AG18">
        <v>3</v>
      </c>
      <c r="AH18">
        <v>2</v>
      </c>
      <c r="AI18" s="765">
        <v>45931</v>
      </c>
      <c r="AJ18" s="765">
        <v>46231</v>
      </c>
      <c r="AK18">
        <v>30</v>
      </c>
      <c r="AL18">
        <v>0</v>
      </c>
      <c r="AM18">
        <v>0</v>
      </c>
      <c r="AN18">
        <v>80</v>
      </c>
      <c r="AO18">
        <v>60</v>
      </c>
      <c r="AP18">
        <v>60</v>
      </c>
      <c r="AQ18">
        <v>60</v>
      </c>
      <c r="AR18">
        <v>30</v>
      </c>
      <c r="AS18">
        <v>10</v>
      </c>
      <c r="AT18">
        <v>40</v>
      </c>
      <c r="AU18">
        <v>30</v>
      </c>
      <c r="AV18">
        <v>30</v>
      </c>
      <c r="AW18">
        <v>0</v>
      </c>
      <c r="AX18">
        <v>70</v>
      </c>
      <c r="AY18">
        <v>30</v>
      </c>
      <c r="AZ18">
        <v>0</v>
      </c>
      <c r="BA18">
        <v>60</v>
      </c>
      <c r="BB18">
        <v>40</v>
      </c>
      <c r="BC18">
        <v>0</v>
      </c>
      <c r="BD18">
        <v>0</v>
      </c>
      <c r="BE18">
        <v>100</v>
      </c>
      <c r="BF18">
        <v>0</v>
      </c>
      <c r="BG18">
        <v>0</v>
      </c>
      <c r="BH18">
        <v>100</v>
      </c>
      <c r="BI18">
        <v>3</v>
      </c>
      <c r="BJ18">
        <v>0</v>
      </c>
    </row>
    <row r="19" spans="1:62" customFormat="1" x14ac:dyDescent="0.3">
      <c r="A19" t="s">
        <v>109</v>
      </c>
      <c r="B19">
        <v>90</v>
      </c>
      <c r="C19">
        <v>70</v>
      </c>
      <c r="D19">
        <v>170</v>
      </c>
      <c r="E19">
        <v>110</v>
      </c>
      <c r="F19">
        <v>60</v>
      </c>
      <c r="G19">
        <v>0</v>
      </c>
      <c r="H19">
        <v>10</v>
      </c>
      <c r="I19">
        <v>10</v>
      </c>
      <c r="J19">
        <v>15</v>
      </c>
      <c r="K19" t="s">
        <v>528</v>
      </c>
      <c r="L19" t="s">
        <v>112</v>
      </c>
      <c r="M19" t="s">
        <v>28</v>
      </c>
      <c r="N19" t="s">
        <v>528</v>
      </c>
      <c r="P19">
        <v>0</v>
      </c>
      <c r="Q19" s="765">
        <v>46101</v>
      </c>
      <c r="R19">
        <v>10</v>
      </c>
      <c r="S19" s="765">
        <v>46143</v>
      </c>
      <c r="T19">
        <v>7</v>
      </c>
      <c r="V19">
        <v>0</v>
      </c>
      <c r="X19">
        <v>0</v>
      </c>
      <c r="Y19" s="765">
        <v>46086</v>
      </c>
      <c r="Z19">
        <v>5</v>
      </c>
      <c r="AA19" s="765">
        <v>46137</v>
      </c>
      <c r="AB19">
        <v>14</v>
      </c>
      <c r="AD19">
        <v>0</v>
      </c>
      <c r="AE19">
        <v>0</v>
      </c>
      <c r="AF19">
        <v>4</v>
      </c>
      <c r="AG19">
        <v>3</v>
      </c>
      <c r="AH19">
        <v>0</v>
      </c>
      <c r="AI19" s="765">
        <v>46091</v>
      </c>
      <c r="AJ19" s="765">
        <v>46249</v>
      </c>
      <c r="AK19">
        <v>30</v>
      </c>
      <c r="AL19">
        <v>0</v>
      </c>
      <c r="AM19">
        <v>0</v>
      </c>
      <c r="AN19">
        <v>80</v>
      </c>
      <c r="AO19">
        <v>60</v>
      </c>
      <c r="AP19">
        <v>0</v>
      </c>
      <c r="AQ19">
        <v>65</v>
      </c>
      <c r="AR19">
        <v>35</v>
      </c>
      <c r="AS19">
        <v>0</v>
      </c>
      <c r="AT19">
        <v>50</v>
      </c>
      <c r="AU19">
        <v>50</v>
      </c>
      <c r="AV19">
        <v>0</v>
      </c>
      <c r="AW19">
        <v>0</v>
      </c>
      <c r="AX19">
        <v>100</v>
      </c>
      <c r="AY19">
        <v>0</v>
      </c>
      <c r="AZ19">
        <v>0</v>
      </c>
      <c r="BA19">
        <v>100</v>
      </c>
      <c r="BB19">
        <v>0</v>
      </c>
      <c r="BC19">
        <v>0</v>
      </c>
      <c r="BD19">
        <v>100</v>
      </c>
      <c r="BE19">
        <v>0</v>
      </c>
      <c r="BF19">
        <v>0</v>
      </c>
      <c r="BG19">
        <v>100</v>
      </c>
      <c r="BH19">
        <v>0</v>
      </c>
      <c r="BI19">
        <v>2</v>
      </c>
      <c r="BJ19">
        <v>0</v>
      </c>
    </row>
    <row r="20" spans="1:62" customFormat="1" x14ac:dyDescent="0.3">
      <c r="A20" t="s">
        <v>530</v>
      </c>
      <c r="B20">
        <v>60</v>
      </c>
      <c r="C20">
        <v>55</v>
      </c>
      <c r="D20">
        <v>130</v>
      </c>
      <c r="E20">
        <v>90</v>
      </c>
      <c r="F20">
        <v>40</v>
      </c>
      <c r="G20">
        <v>0</v>
      </c>
      <c r="H20">
        <v>10</v>
      </c>
      <c r="I20">
        <v>10</v>
      </c>
      <c r="J20">
        <v>15</v>
      </c>
      <c r="K20" t="s">
        <v>528</v>
      </c>
      <c r="L20" t="s">
        <v>112</v>
      </c>
      <c r="M20" t="s">
        <v>28</v>
      </c>
      <c r="N20" t="s">
        <v>528</v>
      </c>
      <c r="P20">
        <v>0</v>
      </c>
      <c r="Q20" s="765">
        <v>46101</v>
      </c>
      <c r="R20">
        <v>10</v>
      </c>
      <c r="S20" s="765">
        <v>46143</v>
      </c>
      <c r="T20">
        <v>7</v>
      </c>
      <c r="V20">
        <v>0</v>
      </c>
      <c r="X20">
        <v>0</v>
      </c>
      <c r="Y20" s="765">
        <v>46086</v>
      </c>
      <c r="Z20">
        <v>5</v>
      </c>
      <c r="AA20" s="765">
        <v>46137</v>
      </c>
      <c r="AB20">
        <v>14</v>
      </c>
      <c r="AD20">
        <v>0</v>
      </c>
      <c r="AE20">
        <v>0</v>
      </c>
      <c r="AF20">
        <v>4</v>
      </c>
      <c r="AG20">
        <v>3</v>
      </c>
      <c r="AH20">
        <v>0</v>
      </c>
      <c r="AI20" s="765">
        <v>46091</v>
      </c>
      <c r="AJ20" s="765">
        <v>46249</v>
      </c>
      <c r="AK20">
        <v>30</v>
      </c>
      <c r="AL20">
        <v>0</v>
      </c>
      <c r="AM20">
        <v>0</v>
      </c>
      <c r="AN20">
        <v>80</v>
      </c>
      <c r="AO20">
        <v>60</v>
      </c>
      <c r="AP20">
        <v>0</v>
      </c>
      <c r="AQ20">
        <v>65</v>
      </c>
      <c r="AR20">
        <v>35</v>
      </c>
      <c r="AS20">
        <v>0</v>
      </c>
      <c r="AT20">
        <v>50</v>
      </c>
      <c r="AU20">
        <v>50</v>
      </c>
      <c r="AV20">
        <v>0</v>
      </c>
      <c r="AW20">
        <v>0</v>
      </c>
      <c r="AX20">
        <v>100</v>
      </c>
      <c r="AY20">
        <v>0</v>
      </c>
      <c r="AZ20">
        <v>0</v>
      </c>
      <c r="BA20">
        <v>100</v>
      </c>
      <c r="BB20">
        <v>0</v>
      </c>
      <c r="BC20">
        <v>0</v>
      </c>
      <c r="BD20">
        <v>100</v>
      </c>
      <c r="BE20">
        <v>0</v>
      </c>
      <c r="BF20">
        <v>0</v>
      </c>
      <c r="BG20">
        <v>100</v>
      </c>
      <c r="BH20">
        <v>0</v>
      </c>
      <c r="BI20">
        <v>2</v>
      </c>
      <c r="BJ20">
        <v>0</v>
      </c>
    </row>
    <row r="21" spans="1:62" customFormat="1" x14ac:dyDescent="0.3">
      <c r="A21" t="s">
        <v>110</v>
      </c>
      <c r="B21">
        <v>90</v>
      </c>
      <c r="C21">
        <v>70</v>
      </c>
      <c r="D21">
        <v>190</v>
      </c>
      <c r="E21">
        <v>110</v>
      </c>
      <c r="F21">
        <v>40</v>
      </c>
      <c r="G21">
        <v>40</v>
      </c>
      <c r="H21">
        <v>10</v>
      </c>
      <c r="I21">
        <v>10</v>
      </c>
      <c r="J21">
        <v>15</v>
      </c>
      <c r="K21" t="s">
        <v>528</v>
      </c>
      <c r="L21" t="s">
        <v>345</v>
      </c>
      <c r="M21" t="s">
        <v>28</v>
      </c>
      <c r="N21" t="s">
        <v>29</v>
      </c>
      <c r="P21">
        <v>0</v>
      </c>
      <c r="Q21" s="765">
        <v>46091</v>
      </c>
      <c r="R21">
        <v>10</v>
      </c>
      <c r="S21" s="765">
        <v>46132</v>
      </c>
      <c r="T21">
        <v>7</v>
      </c>
      <c r="U21" s="765">
        <v>46154</v>
      </c>
      <c r="V21">
        <v>7</v>
      </c>
      <c r="X21">
        <v>0</v>
      </c>
      <c r="Y21" s="765">
        <v>46086</v>
      </c>
      <c r="Z21">
        <v>33</v>
      </c>
      <c r="AA21" s="765">
        <v>46127</v>
      </c>
      <c r="AB21">
        <v>14</v>
      </c>
      <c r="AD21">
        <v>0</v>
      </c>
      <c r="AE21">
        <v>0</v>
      </c>
      <c r="AF21">
        <v>4</v>
      </c>
      <c r="AG21">
        <v>3</v>
      </c>
      <c r="AH21">
        <v>2</v>
      </c>
      <c r="AI21" s="765">
        <v>45935</v>
      </c>
      <c r="AJ21" s="765">
        <v>46235</v>
      </c>
      <c r="AK21">
        <v>30</v>
      </c>
      <c r="AL21">
        <v>0</v>
      </c>
      <c r="AM21">
        <v>0</v>
      </c>
      <c r="AN21">
        <v>80</v>
      </c>
      <c r="AO21">
        <v>80</v>
      </c>
      <c r="AP21">
        <v>60</v>
      </c>
      <c r="AQ21">
        <v>60</v>
      </c>
      <c r="AR21">
        <v>30</v>
      </c>
      <c r="AS21">
        <v>10</v>
      </c>
      <c r="AT21">
        <v>40</v>
      </c>
      <c r="AU21">
        <v>30</v>
      </c>
      <c r="AV21">
        <v>30</v>
      </c>
      <c r="AW21">
        <v>0</v>
      </c>
      <c r="AX21">
        <v>70</v>
      </c>
      <c r="AY21">
        <v>30</v>
      </c>
      <c r="AZ21">
        <v>0</v>
      </c>
      <c r="BA21">
        <v>60</v>
      </c>
      <c r="BB21">
        <v>40</v>
      </c>
      <c r="BC21">
        <v>0</v>
      </c>
      <c r="BD21">
        <v>0</v>
      </c>
      <c r="BE21">
        <v>100</v>
      </c>
      <c r="BF21">
        <v>0</v>
      </c>
      <c r="BG21">
        <v>0</v>
      </c>
      <c r="BH21">
        <v>100</v>
      </c>
      <c r="BI21">
        <v>3</v>
      </c>
      <c r="BJ21">
        <v>0</v>
      </c>
    </row>
    <row r="22" spans="1:62" customFormat="1" x14ac:dyDescent="0.3">
      <c r="A22" t="s">
        <v>111</v>
      </c>
      <c r="B22">
        <v>90</v>
      </c>
      <c r="C22">
        <v>60</v>
      </c>
      <c r="D22">
        <v>200</v>
      </c>
      <c r="E22">
        <v>110</v>
      </c>
      <c r="F22">
        <v>40</v>
      </c>
      <c r="G22">
        <v>50</v>
      </c>
      <c r="H22">
        <v>10</v>
      </c>
      <c r="I22">
        <v>10</v>
      </c>
      <c r="J22">
        <v>15</v>
      </c>
      <c r="K22" t="s">
        <v>528</v>
      </c>
      <c r="L22" t="s">
        <v>345</v>
      </c>
      <c r="M22" t="s">
        <v>28</v>
      </c>
      <c r="N22" t="s">
        <v>29</v>
      </c>
      <c r="P22">
        <v>0</v>
      </c>
      <c r="Q22" s="765">
        <v>46096</v>
      </c>
      <c r="R22">
        <v>10</v>
      </c>
      <c r="S22" s="765">
        <v>46137</v>
      </c>
      <c r="T22">
        <v>7</v>
      </c>
      <c r="U22" s="765">
        <v>46161</v>
      </c>
      <c r="V22">
        <v>7</v>
      </c>
      <c r="X22">
        <v>0</v>
      </c>
      <c r="Y22" s="765">
        <v>46086</v>
      </c>
      <c r="Z22">
        <v>33</v>
      </c>
      <c r="AA22" s="765">
        <v>46132</v>
      </c>
      <c r="AB22">
        <v>14</v>
      </c>
      <c r="AD22">
        <v>0</v>
      </c>
      <c r="AE22">
        <v>0</v>
      </c>
      <c r="AF22">
        <v>4</v>
      </c>
      <c r="AG22">
        <v>3</v>
      </c>
      <c r="AH22">
        <v>3</v>
      </c>
      <c r="AI22" s="765">
        <v>45940</v>
      </c>
      <c r="AJ22" s="765">
        <v>46239</v>
      </c>
      <c r="AK22">
        <v>30</v>
      </c>
      <c r="AL22">
        <v>0</v>
      </c>
      <c r="AM22">
        <v>0</v>
      </c>
      <c r="AN22">
        <v>80</v>
      </c>
      <c r="AO22">
        <v>60</v>
      </c>
      <c r="AP22">
        <v>80</v>
      </c>
      <c r="AQ22">
        <v>60</v>
      </c>
      <c r="AR22">
        <v>30</v>
      </c>
      <c r="AS22">
        <v>10</v>
      </c>
      <c r="AT22">
        <v>40</v>
      </c>
      <c r="AU22">
        <v>30</v>
      </c>
      <c r="AV22">
        <v>30</v>
      </c>
      <c r="AW22">
        <v>0</v>
      </c>
      <c r="AX22">
        <v>70</v>
      </c>
      <c r="AY22">
        <v>30</v>
      </c>
      <c r="AZ22">
        <v>0</v>
      </c>
      <c r="BA22">
        <v>60</v>
      </c>
      <c r="BB22">
        <v>40</v>
      </c>
      <c r="BC22">
        <v>0</v>
      </c>
      <c r="BD22">
        <v>0</v>
      </c>
      <c r="BE22">
        <v>100</v>
      </c>
      <c r="BF22">
        <v>0</v>
      </c>
      <c r="BG22">
        <v>0</v>
      </c>
      <c r="BH22">
        <v>100</v>
      </c>
      <c r="BI22">
        <v>3</v>
      </c>
      <c r="BJ22">
        <v>0</v>
      </c>
    </row>
    <row r="23" spans="1:62" customFormat="1" x14ac:dyDescent="0.3">
      <c r="A23" t="s">
        <v>531</v>
      </c>
      <c r="B23">
        <v>90</v>
      </c>
      <c r="C23">
        <v>55</v>
      </c>
      <c r="D23">
        <v>200</v>
      </c>
      <c r="E23">
        <v>120</v>
      </c>
      <c r="F23">
        <v>40</v>
      </c>
      <c r="G23">
        <v>40</v>
      </c>
      <c r="H23">
        <v>10</v>
      </c>
      <c r="I23">
        <v>10</v>
      </c>
      <c r="J23">
        <v>15</v>
      </c>
      <c r="K23" t="s">
        <v>528</v>
      </c>
      <c r="L23" t="s">
        <v>345</v>
      </c>
      <c r="M23" t="s">
        <v>28</v>
      </c>
      <c r="N23" t="s">
        <v>29</v>
      </c>
      <c r="P23">
        <v>0</v>
      </c>
      <c r="Q23" s="765">
        <v>46096</v>
      </c>
      <c r="R23">
        <v>10</v>
      </c>
      <c r="S23" s="765">
        <v>46137</v>
      </c>
      <c r="T23">
        <v>7</v>
      </c>
      <c r="U23" s="765">
        <v>46161</v>
      </c>
      <c r="V23">
        <v>7</v>
      </c>
      <c r="X23">
        <v>0</v>
      </c>
      <c r="Y23" s="765">
        <v>46086</v>
      </c>
      <c r="Z23">
        <v>33</v>
      </c>
      <c r="AA23" s="765">
        <v>46132</v>
      </c>
      <c r="AB23">
        <v>14</v>
      </c>
      <c r="AD23">
        <v>0</v>
      </c>
      <c r="AE23">
        <v>0</v>
      </c>
      <c r="AF23">
        <v>4</v>
      </c>
      <c r="AG23">
        <v>3</v>
      </c>
      <c r="AH23">
        <v>3</v>
      </c>
      <c r="AI23" s="765">
        <v>45940</v>
      </c>
      <c r="AJ23" s="765">
        <v>46239</v>
      </c>
      <c r="AK23">
        <v>30</v>
      </c>
      <c r="AL23">
        <v>0</v>
      </c>
      <c r="AM23">
        <v>0</v>
      </c>
      <c r="AN23">
        <v>80</v>
      </c>
      <c r="AO23">
        <v>80</v>
      </c>
      <c r="AP23">
        <v>60</v>
      </c>
      <c r="AQ23">
        <v>60</v>
      </c>
      <c r="AR23">
        <v>30</v>
      </c>
      <c r="AS23">
        <v>10</v>
      </c>
      <c r="AT23">
        <v>40</v>
      </c>
      <c r="AU23">
        <v>30</v>
      </c>
      <c r="AV23">
        <v>30</v>
      </c>
      <c r="AW23">
        <v>0</v>
      </c>
      <c r="AX23">
        <v>70</v>
      </c>
      <c r="AY23">
        <v>30</v>
      </c>
      <c r="AZ23">
        <v>0</v>
      </c>
      <c r="BA23">
        <v>60</v>
      </c>
      <c r="BB23">
        <v>40</v>
      </c>
      <c r="BC23">
        <v>0</v>
      </c>
      <c r="BD23">
        <v>0</v>
      </c>
      <c r="BE23">
        <v>100</v>
      </c>
      <c r="BF23">
        <v>0</v>
      </c>
      <c r="BG23">
        <v>0</v>
      </c>
      <c r="BH23">
        <v>100</v>
      </c>
      <c r="BI23">
        <v>3</v>
      </c>
      <c r="BJ23">
        <v>0</v>
      </c>
    </row>
    <row r="24" spans="1:62" customFormat="1" x14ac:dyDescent="0.3">
      <c r="A24" t="s">
        <v>532</v>
      </c>
      <c r="E24">
        <v>0</v>
      </c>
      <c r="F24">
        <v>0</v>
      </c>
      <c r="G24">
        <v>0</v>
      </c>
      <c r="K24" t="s">
        <v>528</v>
      </c>
      <c r="L24" t="s">
        <v>528</v>
      </c>
      <c r="M24" t="s">
        <v>528</v>
      </c>
      <c r="N24" t="s">
        <v>528</v>
      </c>
      <c r="P24">
        <v>0</v>
      </c>
      <c r="R24">
        <v>0</v>
      </c>
      <c r="T24">
        <v>0</v>
      </c>
      <c r="V24">
        <v>0</v>
      </c>
      <c r="X24">
        <v>0</v>
      </c>
      <c r="Z24">
        <v>0</v>
      </c>
      <c r="AB24">
        <v>0</v>
      </c>
      <c r="AD24">
        <v>0</v>
      </c>
      <c r="AE24">
        <v>0</v>
      </c>
      <c r="AF24">
        <v>0</v>
      </c>
      <c r="AG24">
        <v>0</v>
      </c>
      <c r="AH24">
        <v>0</v>
      </c>
      <c r="AK24">
        <v>0</v>
      </c>
      <c r="AL24">
        <v>0</v>
      </c>
      <c r="AM24">
        <v>0</v>
      </c>
      <c r="AN24">
        <v>0</v>
      </c>
      <c r="AO24">
        <v>0</v>
      </c>
      <c r="AQ24">
        <v>0</v>
      </c>
      <c r="AR24">
        <v>0</v>
      </c>
      <c r="AS24">
        <v>0</v>
      </c>
      <c r="AT24">
        <v>0</v>
      </c>
      <c r="AU24">
        <v>0</v>
      </c>
      <c r="AV24">
        <v>0</v>
      </c>
      <c r="AW24">
        <v>0</v>
      </c>
      <c r="AX24">
        <v>0</v>
      </c>
      <c r="AY24">
        <v>0</v>
      </c>
      <c r="AZ24">
        <v>0</v>
      </c>
      <c r="BA24">
        <v>0</v>
      </c>
      <c r="BC24">
        <v>0</v>
      </c>
      <c r="BD24">
        <v>0</v>
      </c>
      <c r="BE24">
        <v>0</v>
      </c>
      <c r="BF24">
        <v>0</v>
      </c>
      <c r="BG24">
        <v>0</v>
      </c>
      <c r="BH24">
        <v>0</v>
      </c>
      <c r="BI24">
        <v>9</v>
      </c>
      <c r="BJ24">
        <v>0</v>
      </c>
    </row>
    <row r="25" spans="1:62" customFormat="1" x14ac:dyDescent="0.3">
      <c r="A25" t="s">
        <v>533</v>
      </c>
      <c r="B25">
        <v>90</v>
      </c>
      <c r="C25">
        <v>90</v>
      </c>
      <c r="D25">
        <v>200</v>
      </c>
      <c r="E25">
        <v>200</v>
      </c>
      <c r="F25">
        <v>0</v>
      </c>
      <c r="G25">
        <v>0</v>
      </c>
      <c r="H25">
        <v>10</v>
      </c>
      <c r="I25">
        <v>10</v>
      </c>
      <c r="J25">
        <v>15</v>
      </c>
      <c r="K25" t="s">
        <v>528</v>
      </c>
      <c r="L25" t="s">
        <v>489</v>
      </c>
      <c r="M25" t="s">
        <v>549</v>
      </c>
      <c r="N25" t="s">
        <v>339</v>
      </c>
      <c r="P25">
        <v>0</v>
      </c>
      <c r="Q25" s="765">
        <v>46130</v>
      </c>
      <c r="R25">
        <v>3</v>
      </c>
      <c r="S25" s="765">
        <v>46137</v>
      </c>
      <c r="T25">
        <v>2</v>
      </c>
      <c r="U25" s="765">
        <v>46162</v>
      </c>
      <c r="V25">
        <v>10</v>
      </c>
      <c r="X25">
        <v>0</v>
      </c>
      <c r="Y25" s="765">
        <v>46127</v>
      </c>
      <c r="Z25">
        <v>10</v>
      </c>
      <c r="AB25">
        <v>0</v>
      </c>
      <c r="AC25" s="765">
        <v>46172</v>
      </c>
      <c r="AD25">
        <v>15</v>
      </c>
      <c r="AE25">
        <v>0</v>
      </c>
      <c r="AF25">
        <v>3</v>
      </c>
      <c r="AG25">
        <v>4</v>
      </c>
      <c r="AH25">
        <v>4</v>
      </c>
      <c r="AI25" s="765">
        <v>46137</v>
      </c>
      <c r="AJ25" s="765">
        <v>46305</v>
      </c>
      <c r="AK25">
        <v>0</v>
      </c>
      <c r="AL25">
        <v>30</v>
      </c>
      <c r="AM25">
        <v>0</v>
      </c>
      <c r="AN25" s="729">
        <v>0</v>
      </c>
      <c r="AO25" s="729">
        <v>0</v>
      </c>
      <c r="AP25" s="729">
        <v>0</v>
      </c>
      <c r="AQ25">
        <v>100</v>
      </c>
      <c r="AR25">
        <v>0</v>
      </c>
      <c r="AS25">
        <v>0</v>
      </c>
      <c r="AT25">
        <v>100</v>
      </c>
      <c r="AU25">
        <v>0</v>
      </c>
      <c r="AV25">
        <v>0</v>
      </c>
      <c r="AW25">
        <v>100</v>
      </c>
      <c r="AX25">
        <v>0</v>
      </c>
      <c r="AY25">
        <v>0</v>
      </c>
      <c r="AZ25">
        <v>100</v>
      </c>
      <c r="BA25">
        <v>0</v>
      </c>
      <c r="BB25">
        <v>0</v>
      </c>
      <c r="BC25">
        <v>100</v>
      </c>
      <c r="BD25">
        <v>0</v>
      </c>
      <c r="BE25">
        <v>0</v>
      </c>
      <c r="BF25">
        <v>100</v>
      </c>
      <c r="BG25">
        <v>0</v>
      </c>
      <c r="BH25">
        <v>0</v>
      </c>
      <c r="BI25">
        <v>1</v>
      </c>
      <c r="BJ25">
        <v>1</v>
      </c>
    </row>
    <row r="26" spans="1:62" customFormat="1" x14ac:dyDescent="0.3">
      <c r="A26" t="s">
        <v>534</v>
      </c>
      <c r="E26">
        <v>0</v>
      </c>
      <c r="F26">
        <v>0</v>
      </c>
      <c r="G26">
        <v>0</v>
      </c>
      <c r="K26" t="s">
        <v>528</v>
      </c>
      <c r="L26" t="s">
        <v>528</v>
      </c>
      <c r="M26" t="s">
        <v>528</v>
      </c>
      <c r="N26" t="s">
        <v>528</v>
      </c>
      <c r="P26">
        <v>0</v>
      </c>
      <c r="R26">
        <v>0</v>
      </c>
      <c r="T26">
        <v>0</v>
      </c>
      <c r="V26">
        <v>0</v>
      </c>
      <c r="X26">
        <v>0</v>
      </c>
      <c r="Z26">
        <v>0</v>
      </c>
      <c r="AB26">
        <v>0</v>
      </c>
      <c r="AD26">
        <v>0</v>
      </c>
      <c r="AE26">
        <v>0</v>
      </c>
      <c r="AF26">
        <v>0</v>
      </c>
      <c r="AG26">
        <v>0</v>
      </c>
      <c r="AH26">
        <v>0</v>
      </c>
      <c r="AK26">
        <v>0</v>
      </c>
      <c r="AL26">
        <v>0</v>
      </c>
      <c r="AM26">
        <v>0</v>
      </c>
      <c r="AN26">
        <v>0</v>
      </c>
      <c r="AO26">
        <v>0</v>
      </c>
      <c r="AQ26">
        <v>0</v>
      </c>
      <c r="AR26">
        <v>0</v>
      </c>
      <c r="AS26">
        <v>0</v>
      </c>
      <c r="AT26">
        <v>0</v>
      </c>
      <c r="AU26">
        <v>0</v>
      </c>
      <c r="AV26">
        <v>0</v>
      </c>
      <c r="AW26">
        <v>0</v>
      </c>
      <c r="AX26">
        <v>0</v>
      </c>
      <c r="AY26">
        <v>0</v>
      </c>
      <c r="AZ26">
        <v>0</v>
      </c>
      <c r="BA26">
        <v>0</v>
      </c>
      <c r="BC26">
        <v>0</v>
      </c>
      <c r="BD26">
        <v>0</v>
      </c>
      <c r="BE26">
        <v>0</v>
      </c>
      <c r="BF26">
        <v>0</v>
      </c>
      <c r="BG26">
        <v>0</v>
      </c>
      <c r="BH26">
        <v>0</v>
      </c>
      <c r="BI26">
        <v>9</v>
      </c>
      <c r="BJ26">
        <v>0</v>
      </c>
    </row>
    <row r="27" spans="1:62" customFormat="1" x14ac:dyDescent="0.3">
      <c r="A27" t="s">
        <v>113</v>
      </c>
      <c r="B27">
        <v>90</v>
      </c>
      <c r="C27">
        <v>40</v>
      </c>
      <c r="D27">
        <v>200</v>
      </c>
      <c r="E27">
        <v>130</v>
      </c>
      <c r="F27">
        <v>70</v>
      </c>
      <c r="G27">
        <v>0</v>
      </c>
      <c r="H27">
        <v>5</v>
      </c>
      <c r="I27">
        <v>10</v>
      </c>
      <c r="J27">
        <v>15</v>
      </c>
      <c r="K27" t="s">
        <v>277</v>
      </c>
      <c r="L27" t="s">
        <v>345</v>
      </c>
      <c r="M27" t="s">
        <v>535</v>
      </c>
      <c r="N27" t="s">
        <v>528</v>
      </c>
      <c r="O27" s="765">
        <v>45915</v>
      </c>
      <c r="P27">
        <v>10</v>
      </c>
      <c r="Q27" s="765">
        <v>46086</v>
      </c>
      <c r="R27">
        <v>10</v>
      </c>
      <c r="S27" s="765">
        <v>46111</v>
      </c>
      <c r="T27">
        <v>10</v>
      </c>
      <c r="V27">
        <v>0</v>
      </c>
      <c r="W27" s="765">
        <v>45882</v>
      </c>
      <c r="X27">
        <v>10</v>
      </c>
      <c r="Y27" s="765">
        <v>46078</v>
      </c>
      <c r="Z27">
        <v>25</v>
      </c>
      <c r="AB27">
        <v>0</v>
      </c>
      <c r="AD27">
        <v>0</v>
      </c>
      <c r="AE27">
        <v>3</v>
      </c>
      <c r="AF27">
        <v>4</v>
      </c>
      <c r="AG27">
        <v>3</v>
      </c>
      <c r="AH27">
        <v>0</v>
      </c>
      <c r="AI27" s="765">
        <v>45892</v>
      </c>
      <c r="AJ27" s="765">
        <v>46223</v>
      </c>
      <c r="AK27">
        <v>50</v>
      </c>
      <c r="AL27">
        <v>0</v>
      </c>
      <c r="AM27">
        <v>0</v>
      </c>
      <c r="AN27">
        <v>100</v>
      </c>
      <c r="AO27">
        <v>100</v>
      </c>
      <c r="AP27">
        <v>0</v>
      </c>
      <c r="AQ27">
        <v>60</v>
      </c>
      <c r="AR27">
        <v>40</v>
      </c>
      <c r="AS27">
        <v>0</v>
      </c>
      <c r="AT27">
        <v>50</v>
      </c>
      <c r="AU27">
        <v>50</v>
      </c>
      <c r="AV27">
        <v>0</v>
      </c>
      <c r="AW27">
        <v>0</v>
      </c>
      <c r="AX27">
        <v>100</v>
      </c>
      <c r="AY27">
        <v>0</v>
      </c>
      <c r="AZ27">
        <v>0</v>
      </c>
      <c r="BA27">
        <v>100</v>
      </c>
      <c r="BB27">
        <v>0</v>
      </c>
      <c r="BC27">
        <v>0</v>
      </c>
      <c r="BD27">
        <v>100</v>
      </c>
      <c r="BE27">
        <v>0</v>
      </c>
      <c r="BF27">
        <v>0</v>
      </c>
      <c r="BG27">
        <v>100</v>
      </c>
      <c r="BH27">
        <v>0</v>
      </c>
      <c r="BI27">
        <v>2</v>
      </c>
      <c r="BJ27">
        <v>3</v>
      </c>
    </row>
    <row r="28" spans="1:62" customFormat="1" x14ac:dyDescent="0.3">
      <c r="A28" t="s">
        <v>114</v>
      </c>
      <c r="B28">
        <v>90</v>
      </c>
      <c r="C28">
        <v>35</v>
      </c>
      <c r="D28">
        <v>180</v>
      </c>
      <c r="E28">
        <v>120</v>
      </c>
      <c r="F28">
        <v>60</v>
      </c>
      <c r="G28">
        <v>0</v>
      </c>
      <c r="H28">
        <v>5</v>
      </c>
      <c r="I28">
        <v>10</v>
      </c>
      <c r="J28">
        <v>15</v>
      </c>
      <c r="K28" t="s">
        <v>528</v>
      </c>
      <c r="L28" t="s">
        <v>345</v>
      </c>
      <c r="M28" t="s">
        <v>535</v>
      </c>
      <c r="N28" t="s">
        <v>528</v>
      </c>
      <c r="P28">
        <v>0</v>
      </c>
      <c r="Q28" s="765">
        <v>46091</v>
      </c>
      <c r="R28">
        <v>10</v>
      </c>
      <c r="S28" s="765">
        <v>46122</v>
      </c>
      <c r="T28">
        <v>7</v>
      </c>
      <c r="V28">
        <v>0</v>
      </c>
      <c r="X28">
        <v>0</v>
      </c>
      <c r="Y28" s="765">
        <v>46086</v>
      </c>
      <c r="Z28">
        <v>5</v>
      </c>
      <c r="AB28">
        <v>0</v>
      </c>
      <c r="AD28">
        <v>0</v>
      </c>
      <c r="AE28">
        <v>0</v>
      </c>
      <c r="AF28">
        <v>4</v>
      </c>
      <c r="AG28">
        <v>3</v>
      </c>
      <c r="AH28">
        <v>0</v>
      </c>
      <c r="AI28" s="765">
        <v>46091</v>
      </c>
      <c r="AJ28" s="765">
        <v>46239</v>
      </c>
      <c r="AK28">
        <v>30</v>
      </c>
      <c r="AL28">
        <v>0</v>
      </c>
      <c r="AM28">
        <v>0</v>
      </c>
      <c r="AN28">
        <v>100</v>
      </c>
      <c r="AO28">
        <v>100</v>
      </c>
      <c r="AP28">
        <v>0</v>
      </c>
      <c r="AQ28">
        <v>65</v>
      </c>
      <c r="AR28">
        <v>35</v>
      </c>
      <c r="AS28">
        <v>0</v>
      </c>
      <c r="AT28">
        <v>50</v>
      </c>
      <c r="AU28">
        <v>50</v>
      </c>
      <c r="AV28">
        <v>0</v>
      </c>
      <c r="AW28">
        <v>0</v>
      </c>
      <c r="AX28">
        <v>100</v>
      </c>
      <c r="AY28">
        <v>0</v>
      </c>
      <c r="AZ28">
        <v>0</v>
      </c>
      <c r="BA28">
        <v>100</v>
      </c>
      <c r="BB28">
        <v>0</v>
      </c>
      <c r="BC28">
        <v>0</v>
      </c>
      <c r="BD28">
        <v>100</v>
      </c>
      <c r="BE28">
        <v>0</v>
      </c>
      <c r="BF28">
        <v>0</v>
      </c>
      <c r="BG28">
        <v>100</v>
      </c>
      <c r="BH28">
        <v>0</v>
      </c>
      <c r="BI28">
        <v>2</v>
      </c>
      <c r="BJ28">
        <v>0</v>
      </c>
    </row>
    <row r="29" spans="1:62" customFormat="1" x14ac:dyDescent="0.3">
      <c r="A29" t="s">
        <v>536</v>
      </c>
      <c r="B29">
        <v>60</v>
      </c>
      <c r="C29">
        <v>30</v>
      </c>
      <c r="D29">
        <v>120</v>
      </c>
      <c r="E29">
        <v>70</v>
      </c>
      <c r="F29">
        <v>50</v>
      </c>
      <c r="G29">
        <v>0</v>
      </c>
      <c r="H29">
        <v>5</v>
      </c>
      <c r="I29">
        <v>10</v>
      </c>
      <c r="J29">
        <v>15</v>
      </c>
      <c r="K29" t="s">
        <v>528</v>
      </c>
      <c r="L29" t="s">
        <v>104</v>
      </c>
      <c r="M29" t="s">
        <v>535</v>
      </c>
      <c r="N29" t="s">
        <v>528</v>
      </c>
      <c r="P29">
        <v>0</v>
      </c>
      <c r="Q29" s="765">
        <v>46135</v>
      </c>
      <c r="R29">
        <v>10</v>
      </c>
      <c r="S29" s="765">
        <v>46159</v>
      </c>
      <c r="T29">
        <v>7</v>
      </c>
      <c r="V29">
        <v>0</v>
      </c>
      <c r="X29">
        <v>0</v>
      </c>
      <c r="Y29" s="765">
        <v>46124</v>
      </c>
      <c r="Z29">
        <v>10</v>
      </c>
      <c r="AB29">
        <v>0</v>
      </c>
      <c r="AD29">
        <v>0</v>
      </c>
      <c r="AE29">
        <v>0</v>
      </c>
      <c r="AF29">
        <v>4</v>
      </c>
      <c r="AG29">
        <v>4</v>
      </c>
      <c r="AH29">
        <v>0</v>
      </c>
      <c r="AI29" s="765">
        <v>46134</v>
      </c>
      <c r="AJ29" s="765">
        <v>46305</v>
      </c>
      <c r="AK29">
        <v>60</v>
      </c>
      <c r="AL29">
        <v>0</v>
      </c>
      <c r="AM29">
        <v>0</v>
      </c>
      <c r="AN29">
        <v>70</v>
      </c>
      <c r="AO29">
        <v>50</v>
      </c>
      <c r="AP29">
        <v>0</v>
      </c>
      <c r="AQ29">
        <v>65</v>
      </c>
      <c r="AR29">
        <v>35</v>
      </c>
      <c r="AS29">
        <v>0</v>
      </c>
      <c r="AT29">
        <v>50</v>
      </c>
      <c r="AU29">
        <v>50</v>
      </c>
      <c r="AV29">
        <v>0</v>
      </c>
      <c r="AW29">
        <v>0</v>
      </c>
      <c r="AX29">
        <v>100</v>
      </c>
      <c r="AY29">
        <v>0</v>
      </c>
      <c r="AZ29">
        <v>0</v>
      </c>
      <c r="BA29">
        <v>100</v>
      </c>
      <c r="BB29">
        <v>0</v>
      </c>
      <c r="BC29">
        <v>0</v>
      </c>
      <c r="BD29">
        <v>100</v>
      </c>
      <c r="BE29">
        <v>0</v>
      </c>
      <c r="BF29">
        <v>0</v>
      </c>
      <c r="BG29">
        <v>100</v>
      </c>
      <c r="BH29">
        <v>0</v>
      </c>
      <c r="BI29">
        <v>2</v>
      </c>
      <c r="BJ29">
        <v>0</v>
      </c>
    </row>
    <row r="30" spans="1:62" customFormat="1" x14ac:dyDescent="0.3">
      <c r="A30" t="s">
        <v>537</v>
      </c>
      <c r="B30">
        <v>60</v>
      </c>
      <c r="C30">
        <v>20</v>
      </c>
      <c r="D30">
        <v>100</v>
      </c>
      <c r="E30">
        <v>60</v>
      </c>
      <c r="F30">
        <v>40</v>
      </c>
      <c r="G30">
        <v>0</v>
      </c>
      <c r="H30">
        <v>5</v>
      </c>
      <c r="I30">
        <v>10</v>
      </c>
      <c r="J30">
        <v>15</v>
      </c>
      <c r="K30" t="s">
        <v>528</v>
      </c>
      <c r="L30" t="s">
        <v>104</v>
      </c>
      <c r="M30" t="s">
        <v>535</v>
      </c>
      <c r="N30" t="s">
        <v>528</v>
      </c>
      <c r="P30">
        <v>0</v>
      </c>
      <c r="Q30" s="765">
        <v>46135</v>
      </c>
      <c r="R30">
        <v>10</v>
      </c>
      <c r="S30" s="765">
        <v>46159</v>
      </c>
      <c r="T30">
        <v>7</v>
      </c>
      <c r="V30">
        <v>0</v>
      </c>
      <c r="X30">
        <v>0</v>
      </c>
      <c r="Y30" s="765">
        <v>46127</v>
      </c>
      <c r="Z30">
        <v>10</v>
      </c>
      <c r="AB30">
        <v>0</v>
      </c>
      <c r="AD30">
        <v>0</v>
      </c>
      <c r="AE30">
        <v>0</v>
      </c>
      <c r="AF30">
        <v>4</v>
      </c>
      <c r="AG30">
        <v>4</v>
      </c>
      <c r="AH30">
        <v>0</v>
      </c>
      <c r="AI30" s="765">
        <v>46137</v>
      </c>
      <c r="AJ30" s="765">
        <v>46305</v>
      </c>
      <c r="AK30">
        <v>60</v>
      </c>
      <c r="AL30">
        <v>0</v>
      </c>
      <c r="AM30">
        <v>0</v>
      </c>
      <c r="AN30">
        <v>60</v>
      </c>
      <c r="AO30">
        <v>40</v>
      </c>
      <c r="AP30">
        <v>0</v>
      </c>
      <c r="AQ30">
        <v>65</v>
      </c>
      <c r="AR30">
        <v>35</v>
      </c>
      <c r="AS30">
        <v>0</v>
      </c>
      <c r="AT30">
        <v>50</v>
      </c>
      <c r="AU30">
        <v>50</v>
      </c>
      <c r="AV30">
        <v>0</v>
      </c>
      <c r="AW30">
        <v>0</v>
      </c>
      <c r="AX30">
        <v>100</v>
      </c>
      <c r="AY30">
        <v>0</v>
      </c>
      <c r="AZ30">
        <v>0</v>
      </c>
      <c r="BA30">
        <v>100</v>
      </c>
      <c r="BB30">
        <v>0</v>
      </c>
      <c r="BC30">
        <v>0</v>
      </c>
      <c r="BD30">
        <v>100</v>
      </c>
      <c r="BE30">
        <v>0</v>
      </c>
      <c r="BF30">
        <v>0</v>
      </c>
      <c r="BG30">
        <v>100</v>
      </c>
      <c r="BH30">
        <v>0</v>
      </c>
      <c r="BI30">
        <v>2</v>
      </c>
      <c r="BJ30">
        <v>0</v>
      </c>
    </row>
    <row r="31" spans="1:62" customFormat="1" x14ac:dyDescent="0.3">
      <c r="A31" t="s">
        <v>538</v>
      </c>
      <c r="E31">
        <v>0</v>
      </c>
      <c r="F31">
        <v>0</v>
      </c>
      <c r="G31">
        <v>0</v>
      </c>
      <c r="K31" t="s">
        <v>528</v>
      </c>
      <c r="L31" t="s">
        <v>528</v>
      </c>
      <c r="M31" t="s">
        <v>528</v>
      </c>
      <c r="N31" t="s">
        <v>528</v>
      </c>
      <c r="P31">
        <v>0</v>
      </c>
      <c r="R31">
        <v>0</v>
      </c>
      <c r="T31">
        <v>0</v>
      </c>
      <c r="V31">
        <v>0</v>
      </c>
      <c r="X31">
        <v>0</v>
      </c>
      <c r="Z31">
        <v>0</v>
      </c>
      <c r="AB31">
        <v>0</v>
      </c>
      <c r="AD31">
        <v>0</v>
      </c>
      <c r="AE31">
        <v>0</v>
      </c>
      <c r="AF31">
        <v>0</v>
      </c>
      <c r="AG31">
        <v>0</v>
      </c>
      <c r="AH31">
        <v>0</v>
      </c>
      <c r="AK31">
        <v>0</v>
      </c>
      <c r="AL31">
        <v>0</v>
      </c>
      <c r="AM31">
        <v>0</v>
      </c>
      <c r="AN31">
        <v>0</v>
      </c>
      <c r="AO31">
        <v>0</v>
      </c>
      <c r="AQ31">
        <v>0</v>
      </c>
      <c r="AR31">
        <v>0</v>
      </c>
      <c r="AS31">
        <v>0</v>
      </c>
      <c r="AT31">
        <v>0</v>
      </c>
      <c r="AU31">
        <v>0</v>
      </c>
      <c r="AV31">
        <v>0</v>
      </c>
      <c r="AW31">
        <v>0</v>
      </c>
      <c r="AX31">
        <v>0</v>
      </c>
      <c r="AY31">
        <v>0</v>
      </c>
      <c r="AZ31">
        <v>0</v>
      </c>
      <c r="BA31">
        <v>0</v>
      </c>
      <c r="BC31">
        <v>0</v>
      </c>
      <c r="BD31">
        <v>0</v>
      </c>
      <c r="BE31">
        <v>0</v>
      </c>
      <c r="BF31">
        <v>0</v>
      </c>
      <c r="BG31">
        <v>0</v>
      </c>
      <c r="BH31">
        <v>0</v>
      </c>
      <c r="BI31">
        <v>9</v>
      </c>
      <c r="BJ31">
        <v>0</v>
      </c>
    </row>
    <row r="32" spans="1:62" customFormat="1" x14ac:dyDescent="0.3">
      <c r="A32" t="s">
        <v>115</v>
      </c>
      <c r="B32">
        <v>60</v>
      </c>
      <c r="C32">
        <v>450</v>
      </c>
      <c r="D32">
        <v>180</v>
      </c>
      <c r="E32">
        <v>100</v>
      </c>
      <c r="F32">
        <v>80</v>
      </c>
      <c r="G32">
        <v>0</v>
      </c>
      <c r="H32">
        <v>50</v>
      </c>
      <c r="I32">
        <v>10</v>
      </c>
      <c r="J32">
        <v>10</v>
      </c>
      <c r="K32" t="s">
        <v>528</v>
      </c>
      <c r="L32" t="s">
        <v>369</v>
      </c>
      <c r="M32" t="s">
        <v>376</v>
      </c>
      <c r="N32" t="s">
        <v>528</v>
      </c>
      <c r="P32">
        <v>0</v>
      </c>
      <c r="Q32" s="765">
        <v>46099</v>
      </c>
      <c r="R32">
        <v>5</v>
      </c>
      <c r="S32" s="765">
        <v>46119</v>
      </c>
      <c r="T32">
        <v>3</v>
      </c>
      <c r="V32">
        <v>0</v>
      </c>
      <c r="X32">
        <v>0</v>
      </c>
      <c r="Z32">
        <v>0</v>
      </c>
      <c r="AB32">
        <v>0</v>
      </c>
      <c r="AD32">
        <v>0</v>
      </c>
      <c r="AE32">
        <v>0</v>
      </c>
      <c r="AF32">
        <v>4</v>
      </c>
      <c r="AG32">
        <v>4</v>
      </c>
      <c r="AH32">
        <v>0</v>
      </c>
      <c r="AI32" s="765">
        <v>46106</v>
      </c>
      <c r="AJ32" s="765">
        <v>46280</v>
      </c>
      <c r="AK32">
        <v>50</v>
      </c>
      <c r="AL32">
        <v>0</v>
      </c>
      <c r="AM32">
        <v>0</v>
      </c>
      <c r="AN32">
        <v>110</v>
      </c>
      <c r="AO32">
        <v>90</v>
      </c>
      <c r="AP32">
        <v>0</v>
      </c>
      <c r="AQ32">
        <v>100</v>
      </c>
      <c r="AR32">
        <v>0</v>
      </c>
      <c r="AS32">
        <v>0</v>
      </c>
      <c r="AT32">
        <v>100</v>
      </c>
      <c r="AU32">
        <v>0</v>
      </c>
      <c r="AV32">
        <v>0</v>
      </c>
      <c r="AW32">
        <v>100</v>
      </c>
      <c r="AX32">
        <v>0</v>
      </c>
      <c r="AY32">
        <v>0</v>
      </c>
      <c r="AZ32">
        <v>100</v>
      </c>
      <c r="BA32">
        <v>0</v>
      </c>
      <c r="BB32">
        <v>0</v>
      </c>
      <c r="BC32">
        <v>100</v>
      </c>
      <c r="BD32">
        <v>0</v>
      </c>
      <c r="BE32">
        <v>0</v>
      </c>
      <c r="BF32">
        <v>100</v>
      </c>
      <c r="BG32">
        <v>0</v>
      </c>
      <c r="BH32">
        <v>0</v>
      </c>
      <c r="BI32">
        <v>2</v>
      </c>
      <c r="BJ32">
        <v>2</v>
      </c>
    </row>
    <row r="33" spans="1:62" customFormat="1" x14ac:dyDescent="0.3">
      <c r="A33" t="s">
        <v>116</v>
      </c>
      <c r="B33">
        <v>60</v>
      </c>
      <c r="C33">
        <v>450</v>
      </c>
      <c r="D33">
        <v>200</v>
      </c>
      <c r="E33">
        <v>120</v>
      </c>
      <c r="F33">
        <v>80</v>
      </c>
      <c r="G33">
        <v>0</v>
      </c>
      <c r="H33">
        <v>50</v>
      </c>
      <c r="I33">
        <v>10</v>
      </c>
      <c r="J33">
        <v>10</v>
      </c>
      <c r="K33" t="s">
        <v>528</v>
      </c>
      <c r="L33" t="s">
        <v>369</v>
      </c>
      <c r="M33" t="s">
        <v>376</v>
      </c>
      <c r="N33" t="s">
        <v>528</v>
      </c>
      <c r="P33">
        <v>0</v>
      </c>
      <c r="Q33" s="765">
        <v>46099</v>
      </c>
      <c r="R33">
        <v>5</v>
      </c>
      <c r="S33" s="765">
        <v>46119</v>
      </c>
      <c r="T33">
        <v>3</v>
      </c>
      <c r="V33">
        <v>0</v>
      </c>
      <c r="X33">
        <v>0</v>
      </c>
      <c r="Z33">
        <v>0</v>
      </c>
      <c r="AB33">
        <v>0</v>
      </c>
      <c r="AD33">
        <v>0</v>
      </c>
      <c r="AE33">
        <v>0</v>
      </c>
      <c r="AF33">
        <v>4</v>
      </c>
      <c r="AG33">
        <v>4</v>
      </c>
      <c r="AH33">
        <v>0</v>
      </c>
      <c r="AI33" s="765">
        <v>46106</v>
      </c>
      <c r="AJ33" s="765">
        <v>46280</v>
      </c>
      <c r="AK33">
        <v>50</v>
      </c>
      <c r="AL33">
        <v>0</v>
      </c>
      <c r="AM33">
        <v>0</v>
      </c>
      <c r="AN33">
        <v>120</v>
      </c>
      <c r="AO33">
        <v>80</v>
      </c>
      <c r="AP33">
        <v>0</v>
      </c>
      <c r="AQ33">
        <v>100</v>
      </c>
      <c r="AR33">
        <v>0</v>
      </c>
      <c r="AS33">
        <v>0</v>
      </c>
      <c r="AT33">
        <v>100</v>
      </c>
      <c r="AU33">
        <v>0</v>
      </c>
      <c r="AV33">
        <v>0</v>
      </c>
      <c r="AW33">
        <v>100</v>
      </c>
      <c r="AX33">
        <v>0</v>
      </c>
      <c r="AY33">
        <v>0</v>
      </c>
      <c r="AZ33">
        <v>100</v>
      </c>
      <c r="BA33">
        <v>0</v>
      </c>
      <c r="BB33">
        <v>0</v>
      </c>
      <c r="BC33">
        <v>100</v>
      </c>
      <c r="BD33">
        <v>0</v>
      </c>
      <c r="BE33">
        <v>0</v>
      </c>
      <c r="BF33">
        <v>100</v>
      </c>
      <c r="BG33">
        <v>0</v>
      </c>
      <c r="BH33">
        <v>0</v>
      </c>
      <c r="BI33">
        <v>2</v>
      </c>
      <c r="BJ33">
        <v>2</v>
      </c>
    </row>
    <row r="34" spans="1:62" customFormat="1" x14ac:dyDescent="0.3">
      <c r="A34" t="s">
        <v>117</v>
      </c>
      <c r="B34">
        <v>60</v>
      </c>
      <c r="C34">
        <v>400</v>
      </c>
      <c r="D34">
        <v>220</v>
      </c>
      <c r="E34">
        <v>140</v>
      </c>
      <c r="F34">
        <v>80</v>
      </c>
      <c r="G34">
        <v>0</v>
      </c>
      <c r="H34">
        <v>50</v>
      </c>
      <c r="I34">
        <v>10</v>
      </c>
      <c r="J34">
        <v>10</v>
      </c>
      <c r="K34" t="s">
        <v>528</v>
      </c>
      <c r="L34" t="s">
        <v>369</v>
      </c>
      <c r="M34" t="s">
        <v>376</v>
      </c>
      <c r="N34" t="s">
        <v>528</v>
      </c>
      <c r="P34">
        <v>0</v>
      </c>
      <c r="Q34" s="765">
        <v>46089</v>
      </c>
      <c r="R34">
        <v>5</v>
      </c>
      <c r="S34" s="765">
        <v>46106</v>
      </c>
      <c r="T34">
        <v>3</v>
      </c>
      <c r="V34">
        <v>0</v>
      </c>
      <c r="X34">
        <v>0</v>
      </c>
      <c r="Z34">
        <v>0</v>
      </c>
      <c r="AB34">
        <v>0</v>
      </c>
      <c r="AD34">
        <v>0</v>
      </c>
      <c r="AE34">
        <v>0</v>
      </c>
      <c r="AF34">
        <v>4</v>
      </c>
      <c r="AG34">
        <v>4</v>
      </c>
      <c r="AH34">
        <v>0</v>
      </c>
      <c r="AI34" s="765">
        <v>46096</v>
      </c>
      <c r="AJ34" s="765">
        <v>46249</v>
      </c>
      <c r="AK34">
        <v>30</v>
      </c>
      <c r="AL34">
        <v>0</v>
      </c>
      <c r="AM34">
        <v>0</v>
      </c>
      <c r="AN34">
        <v>140</v>
      </c>
      <c r="AO34">
        <v>80</v>
      </c>
      <c r="AP34">
        <v>0</v>
      </c>
      <c r="AQ34">
        <v>100</v>
      </c>
      <c r="AR34">
        <v>0</v>
      </c>
      <c r="AS34">
        <v>0</v>
      </c>
      <c r="AT34">
        <v>100</v>
      </c>
      <c r="AU34">
        <v>0</v>
      </c>
      <c r="AV34">
        <v>0</v>
      </c>
      <c r="AW34">
        <v>100</v>
      </c>
      <c r="AX34">
        <v>0</v>
      </c>
      <c r="AY34">
        <v>0</v>
      </c>
      <c r="AZ34">
        <v>100</v>
      </c>
      <c r="BA34">
        <v>0</v>
      </c>
      <c r="BB34">
        <v>0</v>
      </c>
      <c r="BC34">
        <v>100</v>
      </c>
      <c r="BD34">
        <v>0</v>
      </c>
      <c r="BE34">
        <v>0</v>
      </c>
      <c r="BF34">
        <v>100</v>
      </c>
      <c r="BG34">
        <v>0</v>
      </c>
      <c r="BH34">
        <v>0</v>
      </c>
      <c r="BI34">
        <v>2</v>
      </c>
      <c r="BJ34">
        <v>2</v>
      </c>
    </row>
    <row r="35" spans="1:62" customFormat="1" x14ac:dyDescent="0.3">
      <c r="A35" t="s">
        <v>118</v>
      </c>
      <c r="B35">
        <v>90</v>
      </c>
      <c r="C35">
        <v>650</v>
      </c>
      <c r="D35">
        <v>170</v>
      </c>
      <c r="E35">
        <v>110</v>
      </c>
      <c r="F35">
        <v>60</v>
      </c>
      <c r="G35">
        <v>0</v>
      </c>
      <c r="H35">
        <v>100</v>
      </c>
      <c r="I35">
        <v>10</v>
      </c>
      <c r="J35">
        <v>15</v>
      </c>
      <c r="K35" t="s">
        <v>528</v>
      </c>
      <c r="L35" t="s">
        <v>404</v>
      </c>
      <c r="M35" t="s">
        <v>539</v>
      </c>
      <c r="N35" t="s">
        <v>528</v>
      </c>
      <c r="P35">
        <v>0</v>
      </c>
      <c r="Q35" s="765">
        <v>46096</v>
      </c>
      <c r="R35">
        <v>10</v>
      </c>
      <c r="S35" s="765">
        <v>46122</v>
      </c>
      <c r="T35">
        <v>10</v>
      </c>
      <c r="V35">
        <v>0</v>
      </c>
      <c r="X35">
        <v>0</v>
      </c>
      <c r="Y35" s="765">
        <v>46091</v>
      </c>
      <c r="Z35">
        <v>5</v>
      </c>
      <c r="AB35">
        <v>0</v>
      </c>
      <c r="AD35">
        <v>0</v>
      </c>
      <c r="AE35">
        <v>0</v>
      </c>
      <c r="AF35">
        <v>4</v>
      </c>
      <c r="AG35">
        <v>4</v>
      </c>
      <c r="AH35">
        <v>0</v>
      </c>
      <c r="AI35" s="765">
        <v>46096</v>
      </c>
      <c r="AJ35" s="765">
        <v>46315</v>
      </c>
      <c r="AK35">
        <v>60</v>
      </c>
      <c r="AL35">
        <v>0</v>
      </c>
      <c r="AM35">
        <v>0</v>
      </c>
      <c r="AN35">
        <v>110</v>
      </c>
      <c r="AO35">
        <v>60</v>
      </c>
      <c r="AP35">
        <v>0</v>
      </c>
      <c r="AQ35">
        <v>65</v>
      </c>
      <c r="AR35">
        <v>35</v>
      </c>
      <c r="AS35">
        <v>0</v>
      </c>
      <c r="AT35">
        <v>50</v>
      </c>
      <c r="AU35">
        <v>50</v>
      </c>
      <c r="AV35">
        <v>0</v>
      </c>
      <c r="AW35">
        <v>0</v>
      </c>
      <c r="AX35">
        <v>100</v>
      </c>
      <c r="AY35">
        <v>0</v>
      </c>
      <c r="AZ35">
        <v>0</v>
      </c>
      <c r="BA35">
        <v>100</v>
      </c>
      <c r="BB35">
        <v>0</v>
      </c>
      <c r="BC35">
        <v>0</v>
      </c>
      <c r="BD35">
        <v>100</v>
      </c>
      <c r="BE35">
        <v>0</v>
      </c>
      <c r="BF35">
        <v>0</v>
      </c>
      <c r="BG35">
        <v>100</v>
      </c>
      <c r="BH35">
        <v>0</v>
      </c>
      <c r="BI35">
        <v>2</v>
      </c>
      <c r="BJ35">
        <v>0</v>
      </c>
    </row>
    <row r="36" spans="1:62" customFormat="1" x14ac:dyDescent="0.3">
      <c r="A36" t="s">
        <v>119</v>
      </c>
      <c r="B36">
        <v>90</v>
      </c>
      <c r="C36">
        <v>650</v>
      </c>
      <c r="D36">
        <v>200</v>
      </c>
      <c r="E36">
        <v>120</v>
      </c>
      <c r="F36">
        <v>80</v>
      </c>
      <c r="G36">
        <v>0</v>
      </c>
      <c r="H36">
        <v>100</v>
      </c>
      <c r="I36">
        <v>10</v>
      </c>
      <c r="J36">
        <v>15</v>
      </c>
      <c r="K36" t="s">
        <v>528</v>
      </c>
      <c r="L36" t="s">
        <v>404</v>
      </c>
      <c r="M36" t="s">
        <v>539</v>
      </c>
      <c r="N36" t="s">
        <v>528</v>
      </c>
      <c r="P36">
        <v>0</v>
      </c>
      <c r="Q36" s="765">
        <v>46096</v>
      </c>
      <c r="R36">
        <v>10</v>
      </c>
      <c r="S36" s="765">
        <v>46122</v>
      </c>
      <c r="T36">
        <v>10</v>
      </c>
      <c r="V36">
        <v>0</v>
      </c>
      <c r="X36">
        <v>0</v>
      </c>
      <c r="Y36" s="765">
        <v>46091</v>
      </c>
      <c r="Z36">
        <v>5</v>
      </c>
      <c r="AB36">
        <v>0</v>
      </c>
      <c r="AD36">
        <v>0</v>
      </c>
      <c r="AE36">
        <v>0</v>
      </c>
      <c r="AF36">
        <v>4</v>
      </c>
      <c r="AG36">
        <v>4</v>
      </c>
      <c r="AH36">
        <v>0</v>
      </c>
      <c r="AI36" s="765">
        <v>46096</v>
      </c>
      <c r="AJ36" s="765">
        <v>46315</v>
      </c>
      <c r="AK36">
        <v>60</v>
      </c>
      <c r="AL36">
        <v>0</v>
      </c>
      <c r="AM36">
        <v>0</v>
      </c>
      <c r="AN36">
        <v>120</v>
      </c>
      <c r="AO36">
        <v>80</v>
      </c>
      <c r="AP36">
        <v>0</v>
      </c>
      <c r="AQ36">
        <v>65</v>
      </c>
      <c r="AR36">
        <v>35</v>
      </c>
      <c r="AS36">
        <v>0</v>
      </c>
      <c r="AT36">
        <v>50</v>
      </c>
      <c r="AU36">
        <v>50</v>
      </c>
      <c r="AV36">
        <v>0</v>
      </c>
      <c r="AW36">
        <v>0</v>
      </c>
      <c r="AX36">
        <v>100</v>
      </c>
      <c r="AY36">
        <v>0</v>
      </c>
      <c r="AZ36">
        <v>0</v>
      </c>
      <c r="BA36">
        <v>100</v>
      </c>
      <c r="BB36">
        <v>0</v>
      </c>
      <c r="BC36">
        <v>0</v>
      </c>
      <c r="BD36">
        <v>100</v>
      </c>
      <c r="BE36">
        <v>0</v>
      </c>
      <c r="BF36">
        <v>0</v>
      </c>
      <c r="BG36">
        <v>100</v>
      </c>
      <c r="BH36">
        <v>0</v>
      </c>
      <c r="BI36">
        <v>2</v>
      </c>
      <c r="BJ36">
        <v>0</v>
      </c>
    </row>
    <row r="37" spans="1:62" customFormat="1" x14ac:dyDescent="0.3">
      <c r="A37" t="s">
        <v>540</v>
      </c>
      <c r="E37">
        <v>0</v>
      </c>
      <c r="F37">
        <v>0</v>
      </c>
      <c r="G37">
        <v>0</v>
      </c>
      <c r="K37" t="s">
        <v>528</v>
      </c>
      <c r="L37" t="s">
        <v>528</v>
      </c>
      <c r="M37" t="s">
        <v>528</v>
      </c>
      <c r="N37" t="s">
        <v>528</v>
      </c>
      <c r="P37">
        <v>0</v>
      </c>
      <c r="R37">
        <v>0</v>
      </c>
      <c r="T37">
        <v>0</v>
      </c>
      <c r="V37">
        <v>0</v>
      </c>
      <c r="X37">
        <v>0</v>
      </c>
      <c r="Z37">
        <v>0</v>
      </c>
      <c r="AB37">
        <v>0</v>
      </c>
      <c r="AD37">
        <v>0</v>
      </c>
      <c r="AE37">
        <v>0</v>
      </c>
      <c r="AF37">
        <v>0</v>
      </c>
      <c r="AG37">
        <v>0</v>
      </c>
      <c r="AH37">
        <v>0</v>
      </c>
      <c r="AK37">
        <v>0</v>
      </c>
      <c r="AL37">
        <v>0</v>
      </c>
      <c r="AM37">
        <v>0</v>
      </c>
      <c r="AN37">
        <v>0</v>
      </c>
      <c r="AO37">
        <v>0</v>
      </c>
      <c r="AQ37">
        <v>0</v>
      </c>
      <c r="AR37">
        <v>0</v>
      </c>
      <c r="AS37">
        <v>0</v>
      </c>
      <c r="AT37">
        <v>0</v>
      </c>
      <c r="AU37">
        <v>0</v>
      </c>
      <c r="AV37">
        <v>0</v>
      </c>
      <c r="AW37">
        <v>0</v>
      </c>
      <c r="AX37">
        <v>0</v>
      </c>
      <c r="AY37">
        <v>0</v>
      </c>
      <c r="AZ37">
        <v>0</v>
      </c>
      <c r="BA37">
        <v>0</v>
      </c>
      <c r="BC37">
        <v>0</v>
      </c>
      <c r="BD37">
        <v>0</v>
      </c>
      <c r="BE37">
        <v>0</v>
      </c>
      <c r="BF37">
        <v>0</v>
      </c>
      <c r="BG37">
        <v>0</v>
      </c>
      <c r="BH37">
        <v>0</v>
      </c>
      <c r="BI37">
        <v>9</v>
      </c>
      <c r="BJ37">
        <v>0</v>
      </c>
    </row>
    <row r="38" spans="1:62" customFormat="1" x14ac:dyDescent="0.3">
      <c r="A38" t="s">
        <v>120</v>
      </c>
      <c r="B38">
        <v>90</v>
      </c>
      <c r="C38">
        <v>450</v>
      </c>
      <c r="D38">
        <v>200</v>
      </c>
      <c r="E38">
        <v>200</v>
      </c>
      <c r="F38">
        <v>0</v>
      </c>
      <c r="G38">
        <v>0</v>
      </c>
      <c r="H38">
        <v>50</v>
      </c>
      <c r="I38">
        <v>10</v>
      </c>
      <c r="J38">
        <v>15</v>
      </c>
      <c r="K38" t="s">
        <v>528</v>
      </c>
      <c r="L38" t="s">
        <v>489</v>
      </c>
      <c r="M38" t="s">
        <v>549</v>
      </c>
      <c r="N38" t="s">
        <v>339</v>
      </c>
      <c r="P38">
        <v>0</v>
      </c>
      <c r="Q38" s="765">
        <v>46130</v>
      </c>
      <c r="R38">
        <v>3</v>
      </c>
      <c r="S38" s="765">
        <v>46137</v>
      </c>
      <c r="T38">
        <v>2</v>
      </c>
      <c r="U38" s="765">
        <v>46162</v>
      </c>
      <c r="V38">
        <v>10</v>
      </c>
      <c r="X38">
        <v>0</v>
      </c>
      <c r="Y38" s="765">
        <v>46127</v>
      </c>
      <c r="Z38">
        <v>10</v>
      </c>
      <c r="AB38">
        <v>0</v>
      </c>
      <c r="AC38" s="765">
        <v>46172</v>
      </c>
      <c r="AD38">
        <v>15</v>
      </c>
      <c r="AE38">
        <v>0</v>
      </c>
      <c r="AF38">
        <v>3</v>
      </c>
      <c r="AG38">
        <v>4</v>
      </c>
      <c r="AH38">
        <v>4</v>
      </c>
      <c r="AI38" s="765">
        <v>46137</v>
      </c>
      <c r="AJ38" s="765">
        <v>46305</v>
      </c>
      <c r="AK38">
        <v>0</v>
      </c>
      <c r="AL38">
        <v>30</v>
      </c>
      <c r="AM38">
        <v>0</v>
      </c>
      <c r="AN38" s="729">
        <v>0</v>
      </c>
      <c r="AO38" s="729">
        <v>0</v>
      </c>
      <c r="AP38" s="729">
        <v>0</v>
      </c>
      <c r="AQ38">
        <v>100</v>
      </c>
      <c r="AR38">
        <v>0</v>
      </c>
      <c r="AS38">
        <v>0</v>
      </c>
      <c r="AT38">
        <v>100</v>
      </c>
      <c r="AU38">
        <v>0</v>
      </c>
      <c r="AV38">
        <v>0</v>
      </c>
      <c r="AW38">
        <v>100</v>
      </c>
      <c r="AX38">
        <v>0</v>
      </c>
      <c r="AY38">
        <v>0</v>
      </c>
      <c r="AZ38">
        <v>100</v>
      </c>
      <c r="BA38">
        <v>0</v>
      </c>
      <c r="BB38">
        <v>0</v>
      </c>
      <c r="BC38">
        <v>100</v>
      </c>
      <c r="BD38">
        <v>0</v>
      </c>
      <c r="BE38">
        <v>0</v>
      </c>
      <c r="BF38">
        <v>100</v>
      </c>
      <c r="BG38">
        <v>0</v>
      </c>
      <c r="BH38">
        <v>0</v>
      </c>
      <c r="BI38">
        <v>1</v>
      </c>
      <c r="BJ38">
        <v>1</v>
      </c>
    </row>
    <row r="39" spans="1:62" customFormat="1" x14ac:dyDescent="0.3">
      <c r="A39" t="s">
        <v>385</v>
      </c>
      <c r="B39">
        <v>90</v>
      </c>
      <c r="C39">
        <v>350</v>
      </c>
      <c r="D39">
        <v>210</v>
      </c>
      <c r="E39">
        <v>130</v>
      </c>
      <c r="F39">
        <v>80</v>
      </c>
      <c r="G39">
        <v>0</v>
      </c>
      <c r="H39">
        <v>50</v>
      </c>
      <c r="I39">
        <v>10</v>
      </c>
      <c r="J39">
        <v>15</v>
      </c>
      <c r="K39" t="s">
        <v>528</v>
      </c>
      <c r="L39" t="s">
        <v>345</v>
      </c>
      <c r="M39" t="s">
        <v>28</v>
      </c>
      <c r="N39" t="s">
        <v>528</v>
      </c>
      <c r="P39">
        <v>0</v>
      </c>
      <c r="Q39" s="765">
        <v>46096</v>
      </c>
      <c r="R39">
        <v>10</v>
      </c>
      <c r="S39" s="765">
        <v>46137</v>
      </c>
      <c r="T39">
        <v>7</v>
      </c>
      <c r="V39">
        <v>0</v>
      </c>
      <c r="X39">
        <v>0</v>
      </c>
      <c r="Y39" s="765">
        <v>46086</v>
      </c>
      <c r="Z39">
        <v>33</v>
      </c>
      <c r="AA39" s="765">
        <v>46132</v>
      </c>
      <c r="AB39">
        <v>14</v>
      </c>
      <c r="AD39">
        <v>0</v>
      </c>
      <c r="AE39">
        <v>0</v>
      </c>
      <c r="AF39">
        <v>4</v>
      </c>
      <c r="AG39">
        <v>3</v>
      </c>
      <c r="AH39">
        <v>0</v>
      </c>
      <c r="AI39" s="765">
        <v>45940</v>
      </c>
      <c r="AJ39" s="765">
        <v>46213</v>
      </c>
      <c r="AK39">
        <v>30</v>
      </c>
      <c r="AL39">
        <v>0</v>
      </c>
      <c r="AM39">
        <v>0</v>
      </c>
      <c r="AN39" s="729">
        <v>100</v>
      </c>
      <c r="AO39" s="729">
        <v>100</v>
      </c>
      <c r="AP39" s="729">
        <v>0</v>
      </c>
      <c r="AQ39">
        <v>65</v>
      </c>
      <c r="AR39">
        <v>35</v>
      </c>
      <c r="AS39">
        <v>0</v>
      </c>
      <c r="AT39">
        <v>50</v>
      </c>
      <c r="AU39">
        <v>50</v>
      </c>
      <c r="AV39">
        <v>0</v>
      </c>
      <c r="AW39">
        <v>0</v>
      </c>
      <c r="AX39">
        <v>100</v>
      </c>
      <c r="AY39">
        <v>0</v>
      </c>
      <c r="AZ39">
        <v>0</v>
      </c>
      <c r="BA39">
        <v>100</v>
      </c>
      <c r="BB39">
        <v>0</v>
      </c>
      <c r="BC39">
        <v>0</v>
      </c>
      <c r="BD39">
        <v>100</v>
      </c>
      <c r="BE39">
        <v>0</v>
      </c>
      <c r="BF39">
        <v>0</v>
      </c>
      <c r="BG39">
        <v>100</v>
      </c>
      <c r="BH39">
        <v>0</v>
      </c>
      <c r="BI39">
        <v>2</v>
      </c>
      <c r="BJ39">
        <v>0</v>
      </c>
    </row>
    <row r="40" spans="1:62" customFormat="1" x14ac:dyDescent="0.3">
      <c r="A40" t="s">
        <v>121</v>
      </c>
      <c r="B40">
        <v>90</v>
      </c>
      <c r="C40">
        <v>350</v>
      </c>
      <c r="D40">
        <v>190</v>
      </c>
      <c r="E40">
        <v>130</v>
      </c>
      <c r="F40">
        <v>60</v>
      </c>
      <c r="G40">
        <v>0</v>
      </c>
      <c r="H40">
        <v>50</v>
      </c>
      <c r="I40">
        <v>10</v>
      </c>
      <c r="J40">
        <v>15</v>
      </c>
      <c r="K40" t="s">
        <v>528</v>
      </c>
      <c r="L40" t="s">
        <v>345</v>
      </c>
      <c r="M40" t="s">
        <v>280</v>
      </c>
      <c r="N40" t="s">
        <v>528</v>
      </c>
      <c r="P40">
        <v>0</v>
      </c>
      <c r="Q40" s="765">
        <v>46086</v>
      </c>
      <c r="R40">
        <v>10</v>
      </c>
      <c r="S40" s="765">
        <v>46116</v>
      </c>
      <c r="T40">
        <v>5</v>
      </c>
      <c r="V40">
        <v>0</v>
      </c>
      <c r="X40">
        <v>0</v>
      </c>
      <c r="Y40" s="765">
        <v>46078</v>
      </c>
      <c r="Z40">
        <v>25</v>
      </c>
      <c r="AA40" s="765">
        <v>46111</v>
      </c>
      <c r="AB40">
        <v>10</v>
      </c>
      <c r="AD40">
        <v>0</v>
      </c>
      <c r="AE40">
        <v>0</v>
      </c>
      <c r="AF40">
        <v>4</v>
      </c>
      <c r="AG40">
        <v>3</v>
      </c>
      <c r="AH40">
        <v>0</v>
      </c>
      <c r="AI40" s="765">
        <v>45923</v>
      </c>
      <c r="AJ40" s="765">
        <v>46188</v>
      </c>
      <c r="AK40">
        <v>50</v>
      </c>
      <c r="AL40">
        <v>0</v>
      </c>
      <c r="AM40">
        <v>0</v>
      </c>
      <c r="AN40">
        <v>100</v>
      </c>
      <c r="AO40">
        <v>100</v>
      </c>
      <c r="AP40">
        <v>0</v>
      </c>
      <c r="AQ40">
        <v>60</v>
      </c>
      <c r="AR40">
        <v>40</v>
      </c>
      <c r="AS40">
        <v>0</v>
      </c>
      <c r="AT40">
        <v>50</v>
      </c>
      <c r="AU40">
        <v>50</v>
      </c>
      <c r="AV40">
        <v>0</v>
      </c>
      <c r="AW40">
        <v>0</v>
      </c>
      <c r="AX40">
        <v>100</v>
      </c>
      <c r="AY40">
        <v>0</v>
      </c>
      <c r="AZ40">
        <v>0</v>
      </c>
      <c r="BA40">
        <v>100</v>
      </c>
      <c r="BB40">
        <v>0</v>
      </c>
      <c r="BC40">
        <v>0</v>
      </c>
      <c r="BD40">
        <v>100</v>
      </c>
      <c r="BE40">
        <v>0</v>
      </c>
      <c r="BF40">
        <v>0</v>
      </c>
      <c r="BG40">
        <v>100</v>
      </c>
      <c r="BH40">
        <v>0</v>
      </c>
      <c r="BI40">
        <v>2</v>
      </c>
      <c r="BJ40">
        <v>0</v>
      </c>
    </row>
    <row r="41" spans="1:62" customFormat="1" x14ac:dyDescent="0.3">
      <c r="A41" t="s">
        <v>122</v>
      </c>
      <c r="B41">
        <v>60</v>
      </c>
      <c r="C41">
        <v>350</v>
      </c>
      <c r="D41">
        <v>180</v>
      </c>
      <c r="E41">
        <v>120</v>
      </c>
      <c r="F41">
        <v>60</v>
      </c>
      <c r="G41">
        <v>0</v>
      </c>
      <c r="H41">
        <v>50</v>
      </c>
      <c r="I41">
        <v>10</v>
      </c>
      <c r="J41">
        <v>15</v>
      </c>
      <c r="K41" t="s">
        <v>528</v>
      </c>
      <c r="L41" t="s">
        <v>345</v>
      </c>
      <c r="M41" t="s">
        <v>280</v>
      </c>
      <c r="N41" t="s">
        <v>528</v>
      </c>
      <c r="P41">
        <v>0</v>
      </c>
      <c r="Q41" s="765">
        <v>46101</v>
      </c>
      <c r="R41">
        <v>10</v>
      </c>
      <c r="S41" s="765">
        <v>46143</v>
      </c>
      <c r="T41">
        <v>7</v>
      </c>
      <c r="V41">
        <v>0</v>
      </c>
      <c r="X41">
        <v>0</v>
      </c>
      <c r="Y41" s="765">
        <v>46086</v>
      </c>
      <c r="Z41">
        <v>5</v>
      </c>
      <c r="AA41" s="765">
        <v>46137</v>
      </c>
      <c r="AB41">
        <v>14</v>
      </c>
      <c r="AD41">
        <v>0</v>
      </c>
      <c r="AE41">
        <v>0</v>
      </c>
      <c r="AF41">
        <v>4</v>
      </c>
      <c r="AG41">
        <v>3</v>
      </c>
      <c r="AH41">
        <v>0</v>
      </c>
      <c r="AI41" s="765">
        <v>46091</v>
      </c>
      <c r="AJ41" s="765">
        <v>46213</v>
      </c>
      <c r="AK41">
        <v>30</v>
      </c>
      <c r="AL41">
        <v>0</v>
      </c>
      <c r="AM41">
        <v>0</v>
      </c>
      <c r="AN41">
        <v>100</v>
      </c>
      <c r="AO41">
        <v>100</v>
      </c>
      <c r="AP41">
        <v>0</v>
      </c>
      <c r="AQ41">
        <v>65</v>
      </c>
      <c r="AR41">
        <v>35</v>
      </c>
      <c r="AS41">
        <v>0</v>
      </c>
      <c r="AT41">
        <v>50</v>
      </c>
      <c r="AU41">
        <v>50</v>
      </c>
      <c r="AV41">
        <v>0</v>
      </c>
      <c r="AW41">
        <v>0</v>
      </c>
      <c r="AX41">
        <v>100</v>
      </c>
      <c r="AY41">
        <v>0</v>
      </c>
      <c r="AZ41">
        <v>0</v>
      </c>
      <c r="BA41">
        <v>100</v>
      </c>
      <c r="BB41">
        <v>0</v>
      </c>
      <c r="BC41">
        <v>0</v>
      </c>
      <c r="BD41">
        <v>100</v>
      </c>
      <c r="BE41">
        <v>0</v>
      </c>
      <c r="BF41">
        <v>0</v>
      </c>
      <c r="BG41">
        <v>100</v>
      </c>
      <c r="BH41">
        <v>0</v>
      </c>
      <c r="BI41">
        <v>2</v>
      </c>
      <c r="BJ41">
        <v>0</v>
      </c>
    </row>
    <row r="42" spans="1:62" customFormat="1" x14ac:dyDescent="0.3">
      <c r="A42" t="s">
        <v>470</v>
      </c>
      <c r="B42">
        <v>90</v>
      </c>
      <c r="C42">
        <v>350</v>
      </c>
      <c r="D42">
        <v>180</v>
      </c>
      <c r="E42">
        <v>120</v>
      </c>
      <c r="F42">
        <v>60</v>
      </c>
      <c r="G42">
        <v>0</v>
      </c>
      <c r="H42">
        <v>50</v>
      </c>
      <c r="I42">
        <v>10</v>
      </c>
      <c r="J42">
        <v>15</v>
      </c>
      <c r="K42" t="s">
        <v>528</v>
      </c>
      <c r="L42" t="s">
        <v>345</v>
      </c>
      <c r="M42" t="s">
        <v>280</v>
      </c>
      <c r="N42" t="s">
        <v>528</v>
      </c>
      <c r="P42">
        <v>0</v>
      </c>
      <c r="Q42" s="765">
        <v>46086</v>
      </c>
      <c r="R42">
        <v>10</v>
      </c>
      <c r="S42" s="765">
        <v>46127</v>
      </c>
      <c r="T42">
        <v>5</v>
      </c>
      <c r="V42">
        <v>0</v>
      </c>
      <c r="X42">
        <v>0</v>
      </c>
      <c r="Y42" s="765">
        <v>46086</v>
      </c>
      <c r="Z42">
        <v>33</v>
      </c>
      <c r="AA42" s="765">
        <v>46122</v>
      </c>
      <c r="AB42">
        <v>14</v>
      </c>
      <c r="AD42">
        <v>0</v>
      </c>
      <c r="AE42">
        <v>0</v>
      </c>
      <c r="AF42">
        <v>4</v>
      </c>
      <c r="AG42">
        <v>3</v>
      </c>
      <c r="AH42">
        <v>0</v>
      </c>
      <c r="AI42" s="765">
        <v>45935</v>
      </c>
      <c r="AJ42" s="765">
        <v>46213</v>
      </c>
      <c r="AK42">
        <v>50</v>
      </c>
      <c r="AL42">
        <v>0</v>
      </c>
      <c r="AM42">
        <v>0</v>
      </c>
      <c r="AN42">
        <v>100</v>
      </c>
      <c r="AO42">
        <v>100</v>
      </c>
      <c r="AP42">
        <v>0</v>
      </c>
      <c r="AQ42">
        <v>60</v>
      </c>
      <c r="AR42">
        <v>40</v>
      </c>
      <c r="AS42">
        <v>0</v>
      </c>
      <c r="AT42">
        <v>50</v>
      </c>
      <c r="AU42">
        <v>50</v>
      </c>
      <c r="AV42">
        <v>0</v>
      </c>
      <c r="AW42">
        <v>0</v>
      </c>
      <c r="AX42">
        <v>100</v>
      </c>
      <c r="AY42">
        <v>0</v>
      </c>
      <c r="AZ42">
        <v>0</v>
      </c>
      <c r="BA42">
        <v>100</v>
      </c>
      <c r="BB42">
        <v>0</v>
      </c>
      <c r="BC42">
        <v>0</v>
      </c>
      <c r="BD42">
        <v>100</v>
      </c>
      <c r="BE42">
        <v>0</v>
      </c>
      <c r="BF42">
        <v>0</v>
      </c>
      <c r="BG42">
        <v>100</v>
      </c>
      <c r="BH42">
        <v>0</v>
      </c>
      <c r="BI42">
        <v>2</v>
      </c>
      <c r="BJ42">
        <v>0</v>
      </c>
    </row>
    <row r="43" spans="1:62" customFormat="1" x14ac:dyDescent="0.3">
      <c r="A43" t="s">
        <v>123</v>
      </c>
      <c r="B43">
        <v>90</v>
      </c>
      <c r="C43">
        <v>350</v>
      </c>
      <c r="D43">
        <v>180</v>
      </c>
      <c r="E43">
        <v>120</v>
      </c>
      <c r="F43">
        <v>60</v>
      </c>
      <c r="G43">
        <v>0</v>
      </c>
      <c r="H43">
        <v>50</v>
      </c>
      <c r="I43">
        <v>10</v>
      </c>
      <c r="J43">
        <v>15</v>
      </c>
      <c r="K43" t="s">
        <v>528</v>
      </c>
      <c r="L43" t="s">
        <v>345</v>
      </c>
      <c r="M43" t="s">
        <v>280</v>
      </c>
      <c r="N43" t="s">
        <v>528</v>
      </c>
      <c r="P43">
        <v>0</v>
      </c>
      <c r="Q43" s="765">
        <v>46086</v>
      </c>
      <c r="R43">
        <v>10</v>
      </c>
      <c r="S43" s="765">
        <v>46122</v>
      </c>
      <c r="T43">
        <v>5</v>
      </c>
      <c r="V43">
        <v>0</v>
      </c>
      <c r="X43">
        <v>0</v>
      </c>
      <c r="Y43" s="765">
        <v>46086</v>
      </c>
      <c r="Z43">
        <v>33</v>
      </c>
      <c r="AA43" s="765">
        <v>46120</v>
      </c>
      <c r="AB43">
        <v>14</v>
      </c>
      <c r="AD43">
        <v>0</v>
      </c>
      <c r="AE43">
        <v>0</v>
      </c>
      <c r="AF43">
        <v>4</v>
      </c>
      <c r="AG43">
        <v>3</v>
      </c>
      <c r="AH43">
        <v>0</v>
      </c>
      <c r="AI43" s="765">
        <v>45935</v>
      </c>
      <c r="AJ43" s="765">
        <v>46213</v>
      </c>
      <c r="AK43">
        <v>50</v>
      </c>
      <c r="AL43">
        <v>0</v>
      </c>
      <c r="AM43">
        <v>0</v>
      </c>
      <c r="AN43">
        <v>100</v>
      </c>
      <c r="AO43">
        <v>100</v>
      </c>
      <c r="AP43">
        <v>0</v>
      </c>
      <c r="AQ43">
        <v>60</v>
      </c>
      <c r="AR43">
        <v>40</v>
      </c>
      <c r="AS43">
        <v>0</v>
      </c>
      <c r="AT43">
        <v>50</v>
      </c>
      <c r="AU43">
        <v>50</v>
      </c>
      <c r="AV43">
        <v>0</v>
      </c>
      <c r="AW43">
        <v>0</v>
      </c>
      <c r="AX43">
        <v>100</v>
      </c>
      <c r="AY43">
        <v>0</v>
      </c>
      <c r="AZ43">
        <v>0</v>
      </c>
      <c r="BA43">
        <v>100</v>
      </c>
      <c r="BB43">
        <v>0</v>
      </c>
      <c r="BC43">
        <v>0</v>
      </c>
      <c r="BD43">
        <v>100</v>
      </c>
      <c r="BE43">
        <v>0</v>
      </c>
      <c r="BF43">
        <v>0</v>
      </c>
      <c r="BG43">
        <v>100</v>
      </c>
      <c r="BH43">
        <v>0</v>
      </c>
      <c r="BI43">
        <v>2</v>
      </c>
      <c r="BJ43">
        <v>0</v>
      </c>
    </row>
    <row r="44" spans="1:62" customFormat="1" x14ac:dyDescent="0.3">
      <c r="A44" t="s">
        <v>124</v>
      </c>
      <c r="B44">
        <v>60</v>
      </c>
      <c r="C44">
        <v>350</v>
      </c>
      <c r="D44">
        <v>180</v>
      </c>
      <c r="E44">
        <v>120</v>
      </c>
      <c r="F44">
        <v>60</v>
      </c>
      <c r="G44">
        <v>0</v>
      </c>
      <c r="H44">
        <v>50</v>
      </c>
      <c r="I44">
        <v>10</v>
      </c>
      <c r="J44">
        <v>15</v>
      </c>
      <c r="K44" t="s">
        <v>528</v>
      </c>
      <c r="L44" t="s">
        <v>345</v>
      </c>
      <c r="M44" t="s">
        <v>280</v>
      </c>
      <c r="N44" t="s">
        <v>528</v>
      </c>
      <c r="P44">
        <v>0</v>
      </c>
      <c r="Q44" s="765">
        <v>46101</v>
      </c>
      <c r="R44">
        <v>10</v>
      </c>
      <c r="S44" s="765">
        <v>46137</v>
      </c>
      <c r="T44">
        <v>7</v>
      </c>
      <c r="V44">
        <v>0</v>
      </c>
      <c r="X44">
        <v>0</v>
      </c>
      <c r="Y44" s="765">
        <v>46086</v>
      </c>
      <c r="Z44">
        <v>5</v>
      </c>
      <c r="AA44" s="765">
        <v>46137</v>
      </c>
      <c r="AB44">
        <v>14</v>
      </c>
      <c r="AD44">
        <v>0</v>
      </c>
      <c r="AE44">
        <v>0</v>
      </c>
      <c r="AF44">
        <v>4</v>
      </c>
      <c r="AG44">
        <v>3</v>
      </c>
      <c r="AH44">
        <v>0</v>
      </c>
      <c r="AI44" s="765">
        <v>46091</v>
      </c>
      <c r="AJ44" s="765">
        <v>46213</v>
      </c>
      <c r="AK44">
        <v>30</v>
      </c>
      <c r="AL44">
        <v>0</v>
      </c>
      <c r="AM44">
        <v>0</v>
      </c>
      <c r="AN44">
        <v>100</v>
      </c>
      <c r="AO44">
        <v>100</v>
      </c>
      <c r="AP44">
        <v>0</v>
      </c>
      <c r="AQ44">
        <v>65</v>
      </c>
      <c r="AR44">
        <v>35</v>
      </c>
      <c r="AS44">
        <v>0</v>
      </c>
      <c r="AT44">
        <v>50</v>
      </c>
      <c r="AU44">
        <v>50</v>
      </c>
      <c r="AV44">
        <v>0</v>
      </c>
      <c r="AW44">
        <v>0</v>
      </c>
      <c r="AX44">
        <v>100</v>
      </c>
      <c r="AY44">
        <v>0</v>
      </c>
      <c r="AZ44">
        <v>0</v>
      </c>
      <c r="BA44">
        <v>100</v>
      </c>
      <c r="BB44">
        <v>0</v>
      </c>
      <c r="BC44">
        <v>0</v>
      </c>
      <c r="BD44">
        <v>100</v>
      </c>
      <c r="BE44">
        <v>0</v>
      </c>
      <c r="BF44">
        <v>0</v>
      </c>
      <c r="BG44">
        <v>100</v>
      </c>
      <c r="BH44">
        <v>0</v>
      </c>
      <c r="BI44">
        <v>2</v>
      </c>
      <c r="BJ44">
        <v>0</v>
      </c>
    </row>
    <row r="45" spans="1:62" customFormat="1" x14ac:dyDescent="0.3">
      <c r="A45" t="s">
        <v>541</v>
      </c>
      <c r="B45">
        <v>90</v>
      </c>
      <c r="C45">
        <v>300</v>
      </c>
      <c r="D45">
        <v>180</v>
      </c>
      <c r="E45">
        <v>120</v>
      </c>
      <c r="F45">
        <v>60</v>
      </c>
      <c r="G45">
        <v>0</v>
      </c>
      <c r="H45">
        <v>50</v>
      </c>
      <c r="I45">
        <v>10</v>
      </c>
      <c r="J45">
        <v>15</v>
      </c>
      <c r="K45" t="s">
        <v>528</v>
      </c>
      <c r="L45" t="s">
        <v>345</v>
      </c>
      <c r="M45" t="s">
        <v>535</v>
      </c>
      <c r="N45" t="s">
        <v>528</v>
      </c>
      <c r="P45">
        <v>0</v>
      </c>
      <c r="Q45" s="765">
        <v>46086</v>
      </c>
      <c r="R45">
        <v>10</v>
      </c>
      <c r="S45" s="765">
        <v>46111</v>
      </c>
      <c r="T45">
        <v>10</v>
      </c>
      <c r="V45">
        <v>0</v>
      </c>
      <c r="X45">
        <v>0</v>
      </c>
      <c r="Y45" s="765">
        <v>46073</v>
      </c>
      <c r="Z45">
        <v>20</v>
      </c>
      <c r="AD45">
        <v>0</v>
      </c>
      <c r="AE45">
        <v>0</v>
      </c>
      <c r="AF45">
        <v>4</v>
      </c>
      <c r="AG45">
        <v>3</v>
      </c>
      <c r="AH45">
        <v>0</v>
      </c>
      <c r="AI45" s="765">
        <v>45892</v>
      </c>
      <c r="AJ45" s="765">
        <v>46204</v>
      </c>
      <c r="AK45">
        <v>50</v>
      </c>
      <c r="AL45">
        <v>0</v>
      </c>
      <c r="AM45">
        <v>0</v>
      </c>
      <c r="AN45">
        <v>100</v>
      </c>
      <c r="AO45">
        <v>80</v>
      </c>
      <c r="AP45">
        <v>0</v>
      </c>
      <c r="AQ45">
        <v>60</v>
      </c>
      <c r="AR45">
        <v>40</v>
      </c>
      <c r="AS45">
        <v>0</v>
      </c>
      <c r="AT45">
        <v>50</v>
      </c>
      <c r="AU45">
        <v>50</v>
      </c>
      <c r="AV45">
        <v>0</v>
      </c>
      <c r="AW45">
        <v>0</v>
      </c>
      <c r="AX45">
        <v>100</v>
      </c>
      <c r="AY45">
        <v>0</v>
      </c>
      <c r="AZ45">
        <v>0</v>
      </c>
      <c r="BA45">
        <v>100</v>
      </c>
      <c r="BB45">
        <v>0</v>
      </c>
      <c r="BC45">
        <v>0</v>
      </c>
      <c r="BD45">
        <v>100</v>
      </c>
      <c r="BE45">
        <v>0</v>
      </c>
      <c r="BF45">
        <v>0</v>
      </c>
      <c r="BG45">
        <v>100</v>
      </c>
      <c r="BH45">
        <v>0</v>
      </c>
      <c r="BI45">
        <v>2</v>
      </c>
      <c r="BJ45">
        <v>0</v>
      </c>
    </row>
    <row r="46" spans="1:62" customFormat="1" x14ac:dyDescent="0.3">
      <c r="A46" t="s">
        <v>125</v>
      </c>
      <c r="B46">
        <v>90</v>
      </c>
      <c r="C46">
        <v>350</v>
      </c>
      <c r="D46">
        <v>200</v>
      </c>
      <c r="E46">
        <v>130</v>
      </c>
      <c r="F46">
        <v>70</v>
      </c>
      <c r="G46">
        <v>0</v>
      </c>
      <c r="H46">
        <v>50</v>
      </c>
      <c r="I46">
        <v>10</v>
      </c>
      <c r="J46">
        <v>15</v>
      </c>
      <c r="K46" t="s">
        <v>277</v>
      </c>
      <c r="L46" t="s">
        <v>345</v>
      </c>
      <c r="M46" t="s">
        <v>535</v>
      </c>
      <c r="N46" t="s">
        <v>528</v>
      </c>
      <c r="O46" s="765">
        <v>45915</v>
      </c>
      <c r="P46">
        <v>10</v>
      </c>
      <c r="Q46" s="765">
        <v>46086</v>
      </c>
      <c r="R46">
        <v>10</v>
      </c>
      <c r="S46" s="765">
        <v>46111</v>
      </c>
      <c r="T46">
        <v>10</v>
      </c>
      <c r="V46">
        <v>0</v>
      </c>
      <c r="W46" s="765">
        <v>45882</v>
      </c>
      <c r="X46">
        <v>10</v>
      </c>
      <c r="Y46" s="765">
        <v>46073</v>
      </c>
      <c r="Z46">
        <v>20</v>
      </c>
      <c r="AD46">
        <v>0</v>
      </c>
      <c r="AE46">
        <v>3</v>
      </c>
      <c r="AF46">
        <v>4</v>
      </c>
      <c r="AG46">
        <v>3</v>
      </c>
      <c r="AH46">
        <v>0</v>
      </c>
      <c r="AI46" s="765">
        <v>45892</v>
      </c>
      <c r="AJ46" s="765">
        <v>46204</v>
      </c>
      <c r="AK46">
        <v>50</v>
      </c>
      <c r="AL46">
        <v>0</v>
      </c>
      <c r="AM46">
        <v>0</v>
      </c>
      <c r="AN46">
        <v>100</v>
      </c>
      <c r="AO46">
        <v>100</v>
      </c>
      <c r="AP46">
        <v>0</v>
      </c>
      <c r="AQ46">
        <v>60</v>
      </c>
      <c r="AR46">
        <v>40</v>
      </c>
      <c r="AS46">
        <v>0</v>
      </c>
      <c r="AT46">
        <v>50</v>
      </c>
      <c r="AU46">
        <v>50</v>
      </c>
      <c r="AV46">
        <v>0</v>
      </c>
      <c r="AW46">
        <v>0</v>
      </c>
      <c r="AX46">
        <v>100</v>
      </c>
      <c r="AY46">
        <v>0</v>
      </c>
      <c r="AZ46">
        <v>0</v>
      </c>
      <c r="BA46">
        <v>100</v>
      </c>
      <c r="BB46">
        <v>0</v>
      </c>
      <c r="BC46">
        <v>0</v>
      </c>
      <c r="BD46">
        <v>100</v>
      </c>
      <c r="BE46">
        <v>0</v>
      </c>
      <c r="BF46">
        <v>0</v>
      </c>
      <c r="BG46">
        <v>100</v>
      </c>
      <c r="BH46">
        <v>0</v>
      </c>
      <c r="BI46">
        <v>2</v>
      </c>
      <c r="BJ46">
        <v>3</v>
      </c>
    </row>
  </sheetData>
  <mergeCells count="18">
    <mergeCell ref="AQ5:AS5"/>
    <mergeCell ref="AT5:AV5"/>
    <mergeCell ref="AZ5:BB5"/>
    <mergeCell ref="BC5:BE5"/>
    <mergeCell ref="BF5:BH5"/>
    <mergeCell ref="AW5:AY5"/>
    <mergeCell ref="D3:G3"/>
    <mergeCell ref="K3:N3"/>
    <mergeCell ref="AE3:AH3"/>
    <mergeCell ref="L4:N4"/>
    <mergeCell ref="AQ4:AV4"/>
    <mergeCell ref="AW4:BB4"/>
    <mergeCell ref="BC4:BH4"/>
    <mergeCell ref="AK2:AM3"/>
    <mergeCell ref="AK4:AM4"/>
    <mergeCell ref="O3:V3"/>
    <mergeCell ref="W3:AD3"/>
    <mergeCell ref="AE2:AH2"/>
  </mergeCells>
  <phoneticPr fontId="24" type="noConversion"/>
  <pageMargins left="0.7" right="0.7" top="0.78740157499999996" bottom="0.78740157499999996"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C867-2386-4644-93B4-C040FEC1DEE7}">
  <dimension ref="A1:J26"/>
  <sheetViews>
    <sheetView workbookViewId="0">
      <selection activeCell="C6" sqref="B6:C6"/>
    </sheetView>
  </sheetViews>
  <sheetFormatPr baseColWidth="10" defaultColWidth="11.44140625" defaultRowHeight="14.4" x14ac:dyDescent="0.3"/>
  <cols>
    <col min="1" max="1" width="11.44140625" style="47"/>
    <col min="2" max="2" width="28.33203125" style="47" customWidth="1"/>
    <col min="3" max="14" width="7.44140625" style="47" customWidth="1"/>
    <col min="15" max="16384" width="11.44140625" style="47"/>
  </cols>
  <sheetData>
    <row r="1" spans="1:10" x14ac:dyDescent="0.3">
      <c r="A1" s="129" t="s">
        <v>38</v>
      </c>
    </row>
    <row r="2" spans="1:10" x14ac:dyDescent="0.3">
      <c r="C2" s="47" t="s">
        <v>126</v>
      </c>
    </row>
    <row r="3" spans="1:10" x14ac:dyDescent="0.3">
      <c r="C3" s="49" t="s">
        <v>450</v>
      </c>
    </row>
    <row r="4" spans="1:10" x14ac:dyDescent="0.3">
      <c r="A4" s="48"/>
      <c r="B4" s="48"/>
      <c r="C4" s="48"/>
      <c r="D4" s="48"/>
      <c r="E4" s="48"/>
      <c r="F4" s="48"/>
      <c r="G4" s="48"/>
      <c r="H4" s="48"/>
      <c r="I4" s="48"/>
      <c r="J4" s="48"/>
    </row>
    <row r="5" spans="1:10" x14ac:dyDescent="0.3">
      <c r="A5" s="48"/>
      <c r="B5" s="49" t="s">
        <v>98</v>
      </c>
      <c r="C5" s="49"/>
      <c r="D5" s="48"/>
      <c r="E5" s="48"/>
      <c r="F5" s="48"/>
      <c r="G5" s="48"/>
      <c r="H5" s="48"/>
      <c r="I5" s="48"/>
      <c r="J5" s="48"/>
    </row>
    <row r="6" spans="1:10" x14ac:dyDescent="0.3">
      <c r="A6" s="48"/>
      <c r="B6" s="49" t="s">
        <v>127</v>
      </c>
      <c r="C6" s="49">
        <v>0</v>
      </c>
      <c r="D6" s="48"/>
      <c r="E6" s="48"/>
      <c r="F6" s="48"/>
      <c r="G6" s="48"/>
      <c r="H6" s="48"/>
      <c r="I6" s="48"/>
      <c r="J6" s="48"/>
    </row>
    <row r="7" spans="1:10" x14ac:dyDescent="0.3">
      <c r="B7" s="49" t="s">
        <v>128</v>
      </c>
      <c r="C7" s="49">
        <v>0</v>
      </c>
      <c r="H7" s="48"/>
      <c r="J7" s="48"/>
    </row>
    <row r="8" spans="1:10" x14ac:dyDescent="0.3">
      <c r="B8" s="49" t="s">
        <v>129</v>
      </c>
      <c r="C8" s="49">
        <v>0</v>
      </c>
      <c r="H8" s="48"/>
      <c r="J8" s="48"/>
    </row>
    <row r="9" spans="1:10" x14ac:dyDescent="0.3">
      <c r="B9" s="49" t="s">
        <v>130</v>
      </c>
      <c r="C9" s="49">
        <v>-10</v>
      </c>
      <c r="H9" s="48"/>
      <c r="J9" s="48"/>
    </row>
    <row r="10" spans="1:10" x14ac:dyDescent="0.3">
      <c r="B10" s="49" t="s">
        <v>131</v>
      </c>
      <c r="C10" s="49">
        <v>-10</v>
      </c>
      <c r="H10" s="48"/>
      <c r="J10" s="48"/>
    </row>
    <row r="11" spans="1:10" x14ac:dyDescent="0.3">
      <c r="B11" s="49" t="s">
        <v>132</v>
      </c>
      <c r="C11" s="49">
        <v>-10</v>
      </c>
      <c r="H11" s="48"/>
      <c r="J11" s="48"/>
    </row>
    <row r="12" spans="1:10" x14ac:dyDescent="0.3">
      <c r="B12" s="49" t="s">
        <v>133</v>
      </c>
      <c r="C12" s="49">
        <v>-20</v>
      </c>
      <c r="H12" s="48"/>
      <c r="J12" s="48"/>
    </row>
    <row r="13" spans="1:10" x14ac:dyDescent="0.3">
      <c r="B13" s="49" t="s">
        <v>134</v>
      </c>
      <c r="C13" s="49">
        <v>-20</v>
      </c>
      <c r="H13" s="48"/>
      <c r="J13" s="48"/>
    </row>
    <row r="14" spans="1:10" x14ac:dyDescent="0.3">
      <c r="B14" s="49" t="s">
        <v>135</v>
      </c>
      <c r="C14" s="49">
        <v>-20</v>
      </c>
      <c r="H14" s="48"/>
      <c r="J14" s="48"/>
    </row>
    <row r="15" spans="1:10" x14ac:dyDescent="0.3">
      <c r="B15" s="49" t="s">
        <v>136</v>
      </c>
      <c r="C15" s="49">
        <v>-20</v>
      </c>
      <c r="H15" s="48"/>
      <c r="J15" s="48"/>
    </row>
    <row r="16" spans="1:10" x14ac:dyDescent="0.3">
      <c r="B16" s="49" t="s">
        <v>137</v>
      </c>
      <c r="C16" s="49">
        <v>-20</v>
      </c>
      <c r="H16" s="48"/>
      <c r="J16" s="48"/>
    </row>
    <row r="17" spans="2:10" x14ac:dyDescent="0.3">
      <c r="B17" s="49" t="s">
        <v>138</v>
      </c>
      <c r="C17" s="49">
        <v>0</v>
      </c>
      <c r="H17" s="48"/>
      <c r="J17" s="48"/>
    </row>
    <row r="18" spans="2:10" x14ac:dyDescent="0.3">
      <c r="B18" s="49" t="s">
        <v>139</v>
      </c>
      <c r="C18" s="49">
        <v>-10</v>
      </c>
      <c r="H18" s="48"/>
      <c r="J18" s="48"/>
    </row>
    <row r="19" spans="2:10" x14ac:dyDescent="0.3">
      <c r="B19" s="49" t="s">
        <v>140</v>
      </c>
      <c r="C19" s="49">
        <v>0</v>
      </c>
      <c r="H19" s="48"/>
      <c r="J19" s="48"/>
    </row>
    <row r="20" spans="2:10" x14ac:dyDescent="0.3">
      <c r="B20" s="49" t="s">
        <v>141</v>
      </c>
      <c r="C20" s="49">
        <v>-10</v>
      </c>
      <c r="H20" s="48"/>
      <c r="J20" s="48"/>
    </row>
    <row r="21" spans="2:10" x14ac:dyDescent="0.3">
      <c r="B21" s="49" t="s">
        <v>542</v>
      </c>
      <c r="C21" s="49">
        <v>-20</v>
      </c>
      <c r="H21" s="48"/>
      <c r="J21" s="48"/>
    </row>
    <row r="22" spans="2:10" x14ac:dyDescent="0.3">
      <c r="B22" s="50" t="s">
        <v>142</v>
      </c>
      <c r="C22" s="50">
        <v>0</v>
      </c>
      <c r="H22" s="48"/>
      <c r="J22" s="48"/>
    </row>
    <row r="23" spans="2:10" x14ac:dyDescent="0.3">
      <c r="C23" s="48"/>
      <c r="H23" s="48"/>
      <c r="J23" s="48"/>
    </row>
    <row r="24" spans="2:10" x14ac:dyDescent="0.3">
      <c r="C24" s="48"/>
      <c r="H24" s="48"/>
      <c r="J24" s="48"/>
    </row>
    <row r="25" spans="2:10" x14ac:dyDescent="0.3">
      <c r="C25" s="48"/>
      <c r="H25" s="48"/>
      <c r="J25" s="48"/>
    </row>
    <row r="26" spans="2:10" x14ac:dyDescent="0.3">
      <c r="C26" s="48"/>
      <c r="H26" s="48"/>
      <c r="J26" s="48"/>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53A5-D92E-47F7-8D21-5E237D800878}">
  <dimension ref="A1:J22"/>
  <sheetViews>
    <sheetView workbookViewId="0">
      <selection activeCell="I75" sqref="I75"/>
    </sheetView>
  </sheetViews>
  <sheetFormatPr baseColWidth="10" defaultColWidth="11.44140625" defaultRowHeight="14.4" x14ac:dyDescent="0.3"/>
  <cols>
    <col min="1" max="1" width="11.44140625" style="47"/>
    <col min="2" max="2" width="54.88671875" style="47" customWidth="1"/>
    <col min="3" max="3" width="8.33203125" style="47" customWidth="1"/>
    <col min="4" max="4" width="8.6640625" style="47" customWidth="1"/>
    <col min="5" max="6" width="12.5546875" style="47" customWidth="1"/>
    <col min="7" max="7" width="15.109375" style="47" customWidth="1"/>
    <col min="8" max="14" width="7.44140625" style="47" customWidth="1"/>
    <col min="15" max="16384" width="11.44140625" style="47"/>
  </cols>
  <sheetData>
    <row r="1" spans="1:10" x14ac:dyDescent="0.3">
      <c r="A1" s="129" t="s">
        <v>39</v>
      </c>
      <c r="D1" s="662"/>
      <c r="E1" s="662"/>
      <c r="F1" s="662"/>
    </row>
    <row r="2" spans="1:10" x14ac:dyDescent="0.3">
      <c r="C2" s="129" t="s">
        <v>126</v>
      </c>
      <c r="D2" s="663" t="s">
        <v>143</v>
      </c>
      <c r="E2" s="663" t="s">
        <v>144</v>
      </c>
      <c r="F2" s="663" t="s">
        <v>145</v>
      </c>
    </row>
    <row r="3" spans="1:10" x14ac:dyDescent="0.3">
      <c r="C3" s="129"/>
      <c r="D3" s="663"/>
      <c r="E3" s="663"/>
      <c r="F3" s="663" t="s">
        <v>146</v>
      </c>
      <c r="G3" s="48" t="s">
        <v>480</v>
      </c>
    </row>
    <row r="4" spans="1:10" x14ac:dyDescent="0.3">
      <c r="A4" s="48"/>
      <c r="B4" s="48" t="s">
        <v>351</v>
      </c>
      <c r="C4" s="48"/>
      <c r="D4" s="664"/>
      <c r="E4" s="664"/>
      <c r="F4" s="664"/>
      <c r="G4" s="47">
        <v>1</v>
      </c>
      <c r="H4" s="48"/>
      <c r="I4" s="48"/>
      <c r="J4" s="48"/>
    </row>
    <row r="5" spans="1:10" x14ac:dyDescent="0.3">
      <c r="A5" s="48"/>
      <c r="B5" s="47" t="s">
        <v>147</v>
      </c>
      <c r="C5" s="254">
        <v>0</v>
      </c>
      <c r="D5" s="662">
        <v>0</v>
      </c>
      <c r="E5" s="662">
        <v>0</v>
      </c>
      <c r="F5" s="662">
        <v>0</v>
      </c>
      <c r="G5" s="47">
        <v>0</v>
      </c>
      <c r="H5" s="48"/>
      <c r="I5" s="48"/>
      <c r="J5" s="48"/>
    </row>
    <row r="6" spans="1:10" x14ac:dyDescent="0.3">
      <c r="B6" s="47" t="s">
        <v>148</v>
      </c>
      <c r="C6" s="254">
        <v>0</v>
      </c>
      <c r="D6" s="662">
        <v>0</v>
      </c>
      <c r="E6" s="662">
        <v>0</v>
      </c>
      <c r="F6" s="662">
        <v>0</v>
      </c>
      <c r="G6" s="47">
        <v>0</v>
      </c>
      <c r="H6" s="48"/>
      <c r="J6" s="48"/>
    </row>
    <row r="7" spans="1:10" x14ac:dyDescent="0.3">
      <c r="B7" s="47" t="s">
        <v>149</v>
      </c>
      <c r="C7" s="254">
        <v>-20</v>
      </c>
      <c r="D7" s="662">
        <v>0</v>
      </c>
      <c r="E7" s="662">
        <v>1</v>
      </c>
      <c r="F7" s="662">
        <v>0</v>
      </c>
      <c r="G7" s="47">
        <v>0</v>
      </c>
      <c r="H7" s="48"/>
      <c r="J7" s="48"/>
    </row>
    <row r="8" spans="1:10" x14ac:dyDescent="0.3">
      <c r="B8" s="47" t="s">
        <v>150</v>
      </c>
      <c r="C8" s="254">
        <v>0</v>
      </c>
      <c r="D8" s="662">
        <v>1</v>
      </c>
      <c r="E8" s="662">
        <v>0</v>
      </c>
      <c r="F8" s="662">
        <v>1</v>
      </c>
      <c r="G8" s="47">
        <v>0</v>
      </c>
      <c r="H8" s="48"/>
      <c r="J8" s="48"/>
    </row>
    <row r="9" spans="1:10" x14ac:dyDescent="0.3">
      <c r="B9" s="47" t="s">
        <v>151</v>
      </c>
      <c r="C9" s="254">
        <v>-10</v>
      </c>
      <c r="D9" s="662">
        <v>0</v>
      </c>
      <c r="E9" s="662">
        <v>0</v>
      </c>
      <c r="F9" s="662">
        <v>0</v>
      </c>
      <c r="G9" s="47">
        <v>1</v>
      </c>
      <c r="H9" s="48"/>
      <c r="J9" s="48"/>
    </row>
    <row r="10" spans="1:10" x14ac:dyDescent="0.3">
      <c r="B10" s="47" t="s">
        <v>152</v>
      </c>
      <c r="C10" s="254">
        <v>-10</v>
      </c>
      <c r="D10" s="662">
        <v>0</v>
      </c>
      <c r="E10" s="662">
        <v>0</v>
      </c>
      <c r="F10" s="662">
        <v>0</v>
      </c>
      <c r="G10" s="47">
        <v>1</v>
      </c>
      <c r="H10" s="48"/>
      <c r="J10" s="48"/>
    </row>
    <row r="11" spans="1:10" x14ac:dyDescent="0.3">
      <c r="B11" s="47" t="s">
        <v>153</v>
      </c>
      <c r="C11" s="254">
        <v>-40</v>
      </c>
      <c r="D11" s="662">
        <v>0</v>
      </c>
      <c r="E11" s="662">
        <v>1</v>
      </c>
      <c r="F11" s="662">
        <v>0</v>
      </c>
      <c r="G11" s="47">
        <v>1</v>
      </c>
      <c r="H11" s="48"/>
      <c r="J11" s="48"/>
    </row>
    <row r="12" spans="1:10" x14ac:dyDescent="0.3">
      <c r="B12" s="47" t="s">
        <v>154</v>
      </c>
      <c r="C12" s="254">
        <v>-10</v>
      </c>
      <c r="D12" s="662">
        <v>1</v>
      </c>
      <c r="E12" s="662">
        <v>0</v>
      </c>
      <c r="F12" s="662">
        <v>1</v>
      </c>
      <c r="G12" s="47">
        <v>1</v>
      </c>
      <c r="H12" s="48"/>
      <c r="J12" s="48"/>
    </row>
    <row r="13" spans="1:10" x14ac:dyDescent="0.3">
      <c r="B13" s="665" t="s">
        <v>423</v>
      </c>
      <c r="C13" s="254">
        <v>0</v>
      </c>
      <c r="D13" s="662">
        <v>0</v>
      </c>
      <c r="E13" s="662">
        <v>0</v>
      </c>
      <c r="F13" s="662">
        <v>0</v>
      </c>
      <c r="G13" s="47">
        <v>0</v>
      </c>
      <c r="H13" s="48"/>
      <c r="J13" s="48"/>
    </row>
    <row r="14" spans="1:10" x14ac:dyDescent="0.3">
      <c r="B14" s="665" t="s">
        <v>425</v>
      </c>
      <c r="C14" s="254">
        <v>0</v>
      </c>
      <c r="D14" s="662">
        <v>0</v>
      </c>
      <c r="E14" s="662">
        <v>0</v>
      </c>
      <c r="F14" s="662">
        <v>0</v>
      </c>
      <c r="G14" s="47">
        <v>0</v>
      </c>
      <c r="H14" s="48"/>
      <c r="J14" s="48"/>
    </row>
    <row r="15" spans="1:10" x14ac:dyDescent="0.3">
      <c r="B15" s="665" t="s">
        <v>426</v>
      </c>
      <c r="C15" s="254">
        <v>-20</v>
      </c>
      <c r="D15" s="662">
        <v>0</v>
      </c>
      <c r="E15" s="662">
        <v>1</v>
      </c>
      <c r="F15" s="662">
        <v>0</v>
      </c>
      <c r="G15" s="47">
        <v>0</v>
      </c>
      <c r="H15" s="48"/>
      <c r="J15" s="48"/>
    </row>
    <row r="16" spans="1:10" x14ac:dyDescent="0.3">
      <c r="B16" s="665" t="s">
        <v>424</v>
      </c>
      <c r="C16" s="254">
        <v>0</v>
      </c>
      <c r="D16" s="662">
        <v>1</v>
      </c>
      <c r="E16" s="662">
        <v>0</v>
      </c>
      <c r="F16" s="662">
        <v>1</v>
      </c>
      <c r="G16" s="47">
        <v>0</v>
      </c>
      <c r="H16" s="48"/>
      <c r="J16" s="48"/>
    </row>
    <row r="17" spans="3:10" x14ac:dyDescent="0.3">
      <c r="C17" s="48"/>
      <c r="H17" s="48"/>
      <c r="J17" s="48"/>
    </row>
    <row r="18" spans="3:10" x14ac:dyDescent="0.3">
      <c r="C18" s="48"/>
      <c r="H18" s="48"/>
      <c r="J18" s="48"/>
    </row>
    <row r="19" spans="3:10" x14ac:dyDescent="0.3">
      <c r="C19" s="48"/>
      <c r="H19" s="48"/>
      <c r="J19" s="48"/>
    </row>
    <row r="20" spans="3:10" x14ac:dyDescent="0.3">
      <c r="C20" s="48"/>
      <c r="H20" s="48"/>
      <c r="J20" s="48"/>
    </row>
    <row r="21" spans="3:10" x14ac:dyDescent="0.3">
      <c r="C21" s="48"/>
      <c r="H21" s="48"/>
      <c r="J21" s="48"/>
    </row>
    <row r="22" spans="3:10" x14ac:dyDescent="0.3">
      <c r="C22" s="48"/>
      <c r="H22" s="48"/>
      <c r="J22" s="48"/>
    </row>
  </sheetData>
  <pageMargins left="0.7" right="0.7" top="0.78740157499999996" bottom="0.78740157499999996"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A483C-27CA-4C6D-B410-76E0985C5BAC}">
  <dimension ref="A1:CF22"/>
  <sheetViews>
    <sheetView workbookViewId="0">
      <selection activeCell="D58" sqref="D58"/>
    </sheetView>
  </sheetViews>
  <sheetFormatPr baseColWidth="10" defaultColWidth="11.44140625" defaultRowHeight="14.4" x14ac:dyDescent="0.3"/>
  <cols>
    <col min="1" max="1" width="11.44140625" style="47"/>
    <col min="2" max="2" width="19.6640625" style="47" customWidth="1"/>
    <col min="3" max="14" width="7.44140625" style="47" customWidth="1"/>
    <col min="15" max="16384" width="11.44140625" style="47"/>
  </cols>
  <sheetData>
    <row r="1" spans="1:84" x14ac:dyDescent="0.3">
      <c r="A1" s="129" t="s">
        <v>478</v>
      </c>
      <c r="CF1" s="47">
        <v>3</v>
      </c>
    </row>
    <row r="2" spans="1:84" x14ac:dyDescent="0.3">
      <c r="C2" s="129" t="s">
        <v>126</v>
      </c>
    </row>
    <row r="4" spans="1:84" x14ac:dyDescent="0.3">
      <c r="A4" s="48"/>
      <c r="B4" s="48"/>
      <c r="C4" s="48"/>
      <c r="D4" s="48"/>
      <c r="E4" s="48"/>
      <c r="F4" s="48"/>
      <c r="G4" s="48"/>
      <c r="H4" s="48"/>
      <c r="I4" s="48"/>
      <c r="J4" s="48"/>
    </row>
    <row r="5" spans="1:84" x14ac:dyDescent="0.3">
      <c r="A5" s="48"/>
      <c r="B5" s="47" t="s">
        <v>155</v>
      </c>
      <c r="C5" s="51">
        <v>0</v>
      </c>
      <c r="D5" s="48"/>
      <c r="E5" s="48"/>
      <c r="F5" s="48"/>
      <c r="G5" s="48"/>
      <c r="H5" s="48"/>
      <c r="I5" s="48"/>
      <c r="J5" s="48"/>
    </row>
    <row r="6" spans="1:84" x14ac:dyDescent="0.3">
      <c r="B6" s="47" t="s">
        <v>156</v>
      </c>
      <c r="C6" s="51">
        <v>-20</v>
      </c>
      <c r="H6" s="48"/>
      <c r="J6" s="48"/>
    </row>
    <row r="7" spans="1:84" x14ac:dyDescent="0.3">
      <c r="B7" s="47" t="s">
        <v>157</v>
      </c>
      <c r="C7" s="51">
        <v>-20</v>
      </c>
      <c r="H7" s="48"/>
      <c r="J7" s="48"/>
    </row>
    <row r="8" spans="1:84" x14ac:dyDescent="0.3">
      <c r="B8" s="47" t="s">
        <v>158</v>
      </c>
      <c r="C8" s="51">
        <v>-20</v>
      </c>
      <c r="H8" s="48"/>
      <c r="J8" s="48"/>
    </row>
    <row r="9" spans="1:84" x14ac:dyDescent="0.3">
      <c r="C9" s="48"/>
      <c r="H9" s="48"/>
      <c r="J9" s="48"/>
    </row>
    <row r="10" spans="1:84" x14ac:dyDescent="0.3">
      <c r="C10" s="48"/>
      <c r="H10" s="48"/>
      <c r="J10" s="48"/>
    </row>
    <row r="11" spans="1:84" x14ac:dyDescent="0.3">
      <c r="H11" s="48"/>
      <c r="J11" s="48"/>
    </row>
    <row r="12" spans="1:84" x14ac:dyDescent="0.3">
      <c r="H12" s="48"/>
      <c r="J12" s="48"/>
    </row>
    <row r="13" spans="1:84" x14ac:dyDescent="0.3">
      <c r="H13" s="48"/>
      <c r="J13" s="48"/>
    </row>
    <row r="14" spans="1:84" x14ac:dyDescent="0.3">
      <c r="C14" s="48"/>
      <c r="H14" s="48"/>
      <c r="J14" s="48"/>
    </row>
    <row r="15" spans="1:84" x14ac:dyDescent="0.3">
      <c r="C15" s="48"/>
      <c r="H15" s="48"/>
      <c r="J15" s="48"/>
    </row>
    <row r="16" spans="1:84" x14ac:dyDescent="0.3">
      <c r="C16" s="48"/>
      <c r="H16" s="48"/>
      <c r="J16" s="48"/>
    </row>
    <row r="17" spans="3:10" x14ac:dyDescent="0.3">
      <c r="C17" s="48"/>
      <c r="H17" s="48"/>
      <c r="J17" s="48"/>
    </row>
    <row r="18" spans="3:10" x14ac:dyDescent="0.3">
      <c r="C18" s="48"/>
      <c r="H18" s="48"/>
      <c r="J18" s="48"/>
    </row>
    <row r="19" spans="3:10" x14ac:dyDescent="0.3">
      <c r="C19" s="48"/>
      <c r="H19" s="48"/>
      <c r="J19" s="48"/>
    </row>
    <row r="20" spans="3:10" x14ac:dyDescent="0.3">
      <c r="C20" s="48"/>
      <c r="H20" s="48"/>
      <c r="J20" s="48"/>
    </row>
    <row r="21" spans="3:10" x14ac:dyDescent="0.3">
      <c r="C21" s="48"/>
      <c r="H21" s="48"/>
      <c r="J21" s="48"/>
    </row>
    <row r="22" spans="3:10" x14ac:dyDescent="0.3">
      <c r="C22" s="48"/>
      <c r="H22" s="48"/>
      <c r="J22" s="48"/>
    </row>
  </sheetData>
  <pageMargins left="0.7" right="0.7" top="0.78740157499999996" bottom="0.78740157499999996"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C7FA-BB0E-499A-B3B3-34906E75F503}">
  <dimension ref="A1:L31"/>
  <sheetViews>
    <sheetView zoomScale="80" zoomScaleNormal="80" workbookViewId="0">
      <selection activeCell="B26" sqref="B26"/>
    </sheetView>
  </sheetViews>
  <sheetFormatPr baseColWidth="10" defaultColWidth="11.44140625" defaultRowHeight="14.4" x14ac:dyDescent="0.3"/>
  <cols>
    <col min="1" max="1" width="11.44140625" style="47"/>
    <col min="2" max="2" width="54.88671875" style="47" customWidth="1"/>
    <col min="3" max="3" width="9.44140625" style="47" customWidth="1"/>
    <col min="4" max="4" width="11.6640625" style="47" customWidth="1"/>
    <col min="5" max="6" width="12.33203125" style="47" customWidth="1"/>
    <col min="7" max="7" width="28.5546875" style="47" customWidth="1"/>
    <col min="8" max="8" width="14" style="47" customWidth="1"/>
    <col min="9" max="11" width="7.44140625" style="47" customWidth="1"/>
    <col min="12" max="16384" width="11.44140625" style="47"/>
  </cols>
  <sheetData>
    <row r="1" spans="1:12" ht="15" thickBot="1" x14ac:dyDescent="0.35">
      <c r="B1" s="47" t="s">
        <v>451</v>
      </c>
      <c r="C1" s="47" t="s">
        <v>452</v>
      </c>
      <c r="E1" s="47" t="s">
        <v>550</v>
      </c>
      <c r="F1" t="s">
        <v>552</v>
      </c>
      <c r="G1" t="s">
        <v>551</v>
      </c>
    </row>
    <row r="2" spans="1:12" x14ac:dyDescent="0.3">
      <c r="C2" s="914" t="s">
        <v>126</v>
      </c>
      <c r="D2" s="917" t="s">
        <v>162</v>
      </c>
      <c r="E2" s="241" t="s">
        <v>163</v>
      </c>
      <c r="F2" s="771"/>
      <c r="G2" s="771" t="s">
        <v>553</v>
      </c>
      <c r="H2" s="270" t="s">
        <v>258</v>
      </c>
    </row>
    <row r="3" spans="1:12" x14ac:dyDescent="0.3">
      <c r="C3" s="915"/>
      <c r="D3" s="918"/>
      <c r="E3" s="239" t="s">
        <v>164</v>
      </c>
      <c r="F3" s="769" t="s">
        <v>554</v>
      </c>
      <c r="G3" s="242"/>
      <c r="H3" s="270" t="s">
        <v>257</v>
      </c>
      <c r="L3" s="47" t="s">
        <v>165</v>
      </c>
    </row>
    <row r="4" spans="1:12" x14ac:dyDescent="0.3">
      <c r="C4" s="915"/>
      <c r="D4" s="918"/>
      <c r="E4" s="239" t="s">
        <v>166</v>
      </c>
      <c r="F4" s="769" t="s">
        <v>555</v>
      </c>
      <c r="G4" s="242"/>
      <c r="H4" s="270" t="s">
        <v>259</v>
      </c>
      <c r="L4" s="47" t="s">
        <v>169</v>
      </c>
    </row>
    <row r="5" spans="1:12" ht="15" thickBot="1" x14ac:dyDescent="0.35">
      <c r="A5" s="48"/>
      <c r="B5" s="48"/>
      <c r="C5" s="916"/>
      <c r="D5" s="919"/>
      <c r="E5" s="243"/>
      <c r="F5" s="770"/>
      <c r="G5" s="244"/>
      <c r="H5" s="271"/>
    </row>
    <row r="6" spans="1:12" x14ac:dyDescent="0.3">
      <c r="A6" s="48"/>
      <c r="B6" s="245" t="s">
        <v>170</v>
      </c>
      <c r="C6" s="249">
        <v>60</v>
      </c>
      <c r="D6" s="240">
        <v>0</v>
      </c>
      <c r="E6" s="238">
        <v>1</v>
      </c>
      <c r="F6">
        <v>1</v>
      </c>
      <c r="G6">
        <v>1</v>
      </c>
      <c r="H6" s="272" t="s">
        <v>260</v>
      </c>
    </row>
    <row r="7" spans="1:12" x14ac:dyDescent="0.3">
      <c r="B7" s="246" t="s">
        <v>171</v>
      </c>
      <c r="C7" s="250">
        <v>25</v>
      </c>
      <c r="D7" s="232">
        <v>0</v>
      </c>
      <c r="E7" s="233">
        <v>2</v>
      </c>
      <c r="F7">
        <v>1</v>
      </c>
      <c r="G7">
        <v>2</v>
      </c>
      <c r="H7" s="272" t="s">
        <v>169</v>
      </c>
    </row>
    <row r="8" spans="1:12" x14ac:dyDescent="0.3">
      <c r="B8" s="246" t="s">
        <v>172</v>
      </c>
      <c r="C8" s="250">
        <v>90</v>
      </c>
      <c r="D8" s="232">
        <v>0</v>
      </c>
      <c r="E8" s="233">
        <v>1</v>
      </c>
      <c r="F8">
        <v>1</v>
      </c>
      <c r="G8">
        <v>3</v>
      </c>
      <c r="H8" s="272" t="s">
        <v>261</v>
      </c>
    </row>
    <row r="9" spans="1:12" x14ac:dyDescent="0.3">
      <c r="B9" s="246" t="s">
        <v>173</v>
      </c>
      <c r="C9" s="250">
        <v>70</v>
      </c>
      <c r="D9" s="232">
        <v>0</v>
      </c>
      <c r="E9" s="234">
        <v>1</v>
      </c>
      <c r="F9">
        <v>1</v>
      </c>
      <c r="G9">
        <v>1</v>
      </c>
      <c r="H9" s="272" t="s">
        <v>260</v>
      </c>
    </row>
    <row r="10" spans="1:12" x14ac:dyDescent="0.3">
      <c r="B10" s="246" t="s">
        <v>174</v>
      </c>
      <c r="C10" s="250">
        <v>30</v>
      </c>
      <c r="D10" s="232">
        <v>0</v>
      </c>
      <c r="E10" s="233">
        <v>2</v>
      </c>
      <c r="F10">
        <v>1</v>
      </c>
      <c r="G10">
        <v>2</v>
      </c>
      <c r="H10" s="272" t="s">
        <v>169</v>
      </c>
    </row>
    <row r="11" spans="1:12" x14ac:dyDescent="0.3">
      <c r="B11" s="246" t="s">
        <v>175</v>
      </c>
      <c r="C11" s="250">
        <v>90</v>
      </c>
      <c r="D11" s="232">
        <v>0</v>
      </c>
      <c r="E11" s="233">
        <v>1</v>
      </c>
      <c r="F11">
        <v>1</v>
      </c>
      <c r="G11">
        <v>3</v>
      </c>
      <c r="H11" s="272" t="s">
        <v>261</v>
      </c>
    </row>
    <row r="12" spans="1:12" x14ac:dyDescent="0.3">
      <c r="B12" s="246" t="s">
        <v>393</v>
      </c>
      <c r="C12" s="251">
        <v>60</v>
      </c>
      <c r="D12" s="232">
        <v>0</v>
      </c>
      <c r="E12" s="233">
        <v>2</v>
      </c>
      <c r="F12">
        <v>2</v>
      </c>
      <c r="G12">
        <v>1</v>
      </c>
      <c r="H12" s="272" t="s">
        <v>394</v>
      </c>
    </row>
    <row r="13" spans="1:12" x14ac:dyDescent="0.3">
      <c r="B13" s="246" t="s">
        <v>176</v>
      </c>
      <c r="C13" s="250">
        <v>30</v>
      </c>
      <c r="D13" s="232">
        <v>0</v>
      </c>
      <c r="E13" s="233">
        <v>2</v>
      </c>
      <c r="F13">
        <v>2</v>
      </c>
      <c r="G13">
        <v>2</v>
      </c>
      <c r="H13" s="272" t="s">
        <v>169</v>
      </c>
    </row>
    <row r="14" spans="1:12" x14ac:dyDescent="0.3">
      <c r="B14" s="246" t="s">
        <v>561</v>
      </c>
      <c r="C14" s="251">
        <v>60</v>
      </c>
      <c r="D14" s="232">
        <v>0</v>
      </c>
      <c r="E14" s="233">
        <v>1</v>
      </c>
      <c r="F14">
        <v>2</v>
      </c>
      <c r="G14">
        <v>1</v>
      </c>
      <c r="H14" s="272" t="s">
        <v>260</v>
      </c>
    </row>
    <row r="15" spans="1:12" x14ac:dyDescent="0.3">
      <c r="B15" s="772" t="s">
        <v>562</v>
      </c>
      <c r="C15" s="250">
        <v>25</v>
      </c>
      <c r="D15" s="232">
        <v>0</v>
      </c>
      <c r="E15" s="233">
        <v>2</v>
      </c>
      <c r="F15">
        <v>1</v>
      </c>
      <c r="G15">
        <v>2</v>
      </c>
      <c r="H15" s="272" t="s">
        <v>169</v>
      </c>
    </row>
    <row r="16" spans="1:12" x14ac:dyDescent="0.3">
      <c r="B16" s="772" t="s">
        <v>563</v>
      </c>
      <c r="C16" s="250">
        <v>30</v>
      </c>
      <c r="D16" s="232">
        <v>0</v>
      </c>
      <c r="E16" s="233">
        <v>2</v>
      </c>
      <c r="F16">
        <v>2</v>
      </c>
      <c r="G16">
        <v>2</v>
      </c>
      <c r="H16" s="272" t="s">
        <v>169</v>
      </c>
    </row>
    <row r="17" spans="2:8" x14ac:dyDescent="0.3">
      <c r="B17" s="246" t="s">
        <v>564</v>
      </c>
      <c r="C17" s="251">
        <v>90</v>
      </c>
      <c r="D17" s="232">
        <v>0</v>
      </c>
      <c r="E17" s="233">
        <v>1</v>
      </c>
      <c r="F17">
        <v>2</v>
      </c>
      <c r="G17">
        <v>3</v>
      </c>
      <c r="H17" s="272" t="s">
        <v>261</v>
      </c>
    </row>
    <row r="18" spans="2:8" x14ac:dyDescent="0.3">
      <c r="B18" s="247" t="s">
        <v>565</v>
      </c>
      <c r="C18" s="252">
        <v>60</v>
      </c>
      <c r="D18" s="232">
        <v>0</v>
      </c>
      <c r="E18" s="235">
        <v>1</v>
      </c>
      <c r="F18">
        <v>2</v>
      </c>
      <c r="G18">
        <v>5</v>
      </c>
      <c r="H18" s="273" t="s">
        <v>262</v>
      </c>
    </row>
    <row r="19" spans="2:8" x14ac:dyDescent="0.3">
      <c r="B19" s="247" t="s">
        <v>566</v>
      </c>
      <c r="C19" s="252">
        <v>30</v>
      </c>
      <c r="D19" s="232">
        <v>0</v>
      </c>
      <c r="E19" s="235">
        <v>2</v>
      </c>
      <c r="F19">
        <v>2</v>
      </c>
      <c r="G19">
        <v>5</v>
      </c>
      <c r="H19" s="273" t="s">
        <v>262</v>
      </c>
    </row>
    <row r="20" spans="2:8" x14ac:dyDescent="0.3">
      <c r="B20" t="s">
        <v>567</v>
      </c>
      <c r="C20" s="252">
        <v>3</v>
      </c>
      <c r="D20" s="232">
        <v>0</v>
      </c>
      <c r="E20" s="235">
        <v>2</v>
      </c>
      <c r="F20">
        <v>2</v>
      </c>
      <c r="G20">
        <v>6</v>
      </c>
      <c r="H20" s="273" t="s">
        <v>263</v>
      </c>
    </row>
    <row r="21" spans="2:8" x14ac:dyDescent="0.3">
      <c r="B21" t="s">
        <v>568</v>
      </c>
      <c r="C21" s="252">
        <v>5</v>
      </c>
      <c r="D21" s="232">
        <v>0</v>
      </c>
      <c r="E21" s="235">
        <v>2</v>
      </c>
      <c r="F21">
        <v>2</v>
      </c>
      <c r="G21">
        <v>6</v>
      </c>
      <c r="H21" s="273" t="s">
        <v>263</v>
      </c>
    </row>
    <row r="22" spans="2:8" ht="15" thickBot="1" x14ac:dyDescent="0.35">
      <c r="B22" s="248" t="s">
        <v>569</v>
      </c>
      <c r="C22" s="253">
        <v>10</v>
      </c>
      <c r="D22" s="237">
        <v>0</v>
      </c>
      <c r="E22" s="236">
        <v>2</v>
      </c>
      <c r="F22">
        <v>2</v>
      </c>
      <c r="G22">
        <v>9</v>
      </c>
      <c r="H22" s="273" t="s">
        <v>264</v>
      </c>
    </row>
    <row r="23" spans="2:8" x14ac:dyDescent="0.3">
      <c r="C23" s="48"/>
    </row>
    <row r="24" spans="2:8" x14ac:dyDescent="0.3">
      <c r="C24" s="48"/>
    </row>
    <row r="25" spans="2:8" x14ac:dyDescent="0.3">
      <c r="C25" s="48"/>
    </row>
    <row r="26" spans="2:8" x14ac:dyDescent="0.3">
      <c r="C26" s="48"/>
    </row>
    <row r="27" spans="2:8" x14ac:dyDescent="0.3">
      <c r="C27" s="48"/>
    </row>
    <row r="28" spans="2:8" x14ac:dyDescent="0.3">
      <c r="B28" s="270"/>
      <c r="C28" s="270"/>
      <c r="D28" s="270"/>
      <c r="E28" s="270"/>
      <c r="F28" s="270"/>
    </row>
    <row r="30" spans="2:8" x14ac:dyDescent="0.3">
      <c r="B30" s="47" t="s">
        <v>178</v>
      </c>
    </row>
    <row r="31" spans="2:8" x14ac:dyDescent="0.3">
      <c r="B31" s="47" t="s">
        <v>179</v>
      </c>
    </row>
  </sheetData>
  <mergeCells count="2">
    <mergeCell ref="C2:C5"/>
    <mergeCell ref="D2:D5"/>
  </mergeCells>
  <pageMargins left="0.7" right="0.7" top="0.78740157499999996" bottom="0.78740157499999996" header="0.3" footer="0.3"/>
  <pageSetup paperSize="9" orientation="portrait" horizontalDpi="300"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16A73-558D-4DD9-8167-8A53F08AF709}">
  <dimension ref="B3:I12"/>
  <sheetViews>
    <sheetView workbookViewId="0">
      <selection activeCell="D58" sqref="D58"/>
    </sheetView>
  </sheetViews>
  <sheetFormatPr baseColWidth="10" defaultRowHeight="14.4" x14ac:dyDescent="0.3"/>
  <cols>
    <col min="5" max="5" width="15" customWidth="1"/>
  </cols>
  <sheetData>
    <row r="3" spans="2:9" x14ac:dyDescent="0.3">
      <c r="B3" s="278"/>
      <c r="C3" s="278"/>
      <c r="D3" s="278" t="s">
        <v>435</v>
      </c>
      <c r="E3" s="278" t="s">
        <v>438</v>
      </c>
      <c r="F3" s="278" t="s">
        <v>436</v>
      </c>
      <c r="G3" s="278" t="s">
        <v>437</v>
      </c>
      <c r="H3" s="278"/>
      <c r="I3" s="278"/>
    </row>
    <row r="4" spans="2:9" x14ac:dyDescent="0.3">
      <c r="B4" s="95"/>
      <c r="C4" s="349">
        <v>2022</v>
      </c>
      <c r="D4" s="350">
        <v>2021</v>
      </c>
      <c r="E4" s="350">
        <v>2022</v>
      </c>
      <c r="F4" s="350" t="s">
        <v>159</v>
      </c>
      <c r="G4" s="350">
        <v>-12</v>
      </c>
      <c r="H4" s="278"/>
      <c r="I4" s="278"/>
    </row>
    <row r="5" spans="2:9" x14ac:dyDescent="0.3">
      <c r="B5" s="95"/>
      <c r="C5" s="349">
        <v>2023</v>
      </c>
      <c r="D5" s="350">
        <v>2022</v>
      </c>
      <c r="E5" s="350">
        <v>2023</v>
      </c>
      <c r="F5" s="350" t="s">
        <v>160</v>
      </c>
      <c r="G5" s="350">
        <v>0</v>
      </c>
      <c r="H5" s="278"/>
      <c r="I5" s="278"/>
    </row>
    <row r="6" spans="2:9" x14ac:dyDescent="0.3">
      <c r="B6" s="95"/>
      <c r="C6" s="349">
        <v>2024</v>
      </c>
      <c r="D6" s="350">
        <v>2023</v>
      </c>
      <c r="E6" s="350">
        <v>2024</v>
      </c>
      <c r="F6" s="350" t="s">
        <v>161</v>
      </c>
      <c r="G6" s="350">
        <v>12</v>
      </c>
      <c r="H6" s="278"/>
      <c r="I6" s="278"/>
    </row>
    <row r="7" spans="2:9" x14ac:dyDescent="0.3">
      <c r="B7" s="95"/>
      <c r="C7" s="349">
        <v>2025</v>
      </c>
      <c r="D7" s="350">
        <v>2024</v>
      </c>
      <c r="E7" s="350">
        <v>2025</v>
      </c>
      <c r="F7" s="350" t="s">
        <v>357</v>
      </c>
      <c r="G7" s="350">
        <v>24</v>
      </c>
      <c r="H7" s="278"/>
      <c r="I7" s="278"/>
    </row>
    <row r="8" spans="2:9" x14ac:dyDescent="0.3">
      <c r="B8" s="278"/>
      <c r="C8" s="349">
        <v>2026</v>
      </c>
      <c r="D8" s="350">
        <v>2025</v>
      </c>
      <c r="E8" s="350">
        <v>2026</v>
      </c>
      <c r="F8" s="350" t="s">
        <v>439</v>
      </c>
      <c r="G8" s="350">
        <v>36</v>
      </c>
      <c r="H8" s="278"/>
      <c r="I8" s="278"/>
    </row>
    <row r="9" spans="2:9" x14ac:dyDescent="0.3">
      <c r="B9" s="278"/>
      <c r="C9" s="349">
        <v>2027</v>
      </c>
      <c r="D9" s="350">
        <v>2026</v>
      </c>
      <c r="E9" s="350">
        <v>2027</v>
      </c>
      <c r="F9" s="350" t="s">
        <v>440</v>
      </c>
      <c r="G9" s="350">
        <v>48</v>
      </c>
      <c r="H9" s="278"/>
      <c r="I9" s="278"/>
    </row>
    <row r="10" spans="2:9" x14ac:dyDescent="0.3">
      <c r="B10" s="278"/>
      <c r="C10" s="349">
        <v>2028</v>
      </c>
      <c r="D10" s="350">
        <v>2027</v>
      </c>
      <c r="E10" s="350">
        <v>2028</v>
      </c>
      <c r="F10" s="350" t="s">
        <v>441</v>
      </c>
      <c r="G10" s="350">
        <v>60</v>
      </c>
      <c r="H10" s="278"/>
      <c r="I10" s="278"/>
    </row>
    <row r="11" spans="2:9" x14ac:dyDescent="0.3">
      <c r="B11" s="278"/>
      <c r="C11" s="278"/>
      <c r="D11" s="278"/>
      <c r="E11" s="278"/>
      <c r="F11" s="278"/>
      <c r="G11" s="278"/>
      <c r="H11" s="278"/>
      <c r="I11" s="278"/>
    </row>
    <row r="12" spans="2:9" x14ac:dyDescent="0.3">
      <c r="B12" s="278"/>
      <c r="C12" s="278"/>
      <c r="D12" s="278"/>
      <c r="E12" s="278"/>
      <c r="F12" s="278"/>
      <c r="G12" s="278"/>
      <c r="H12" s="278"/>
      <c r="I12" s="278"/>
    </row>
  </sheetData>
  <phoneticPr fontId="24"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81FD0-4289-4228-9A3D-6C04B02A1A56}">
  <dimension ref="A2:C4"/>
  <sheetViews>
    <sheetView workbookViewId="0">
      <selection activeCell="D58" sqref="D58"/>
    </sheetView>
  </sheetViews>
  <sheetFormatPr baseColWidth="10" defaultRowHeight="14.4" x14ac:dyDescent="0.3"/>
  <sheetData>
    <row r="2" spans="1:3" x14ac:dyDescent="0.3">
      <c r="A2" t="s">
        <v>180</v>
      </c>
      <c r="C2" t="s">
        <v>165</v>
      </c>
    </row>
    <row r="3" spans="1:3" x14ac:dyDescent="0.3">
      <c r="A3" t="s">
        <v>181</v>
      </c>
      <c r="C3" t="s">
        <v>182</v>
      </c>
    </row>
    <row r="4" spans="1:3" x14ac:dyDescent="0.3">
      <c r="C4" t="s">
        <v>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Programm</vt:lpstr>
      <vt:lpstr>DSN 2020</vt:lpstr>
      <vt:lpstr>Hauptfrüchte</vt:lpstr>
      <vt:lpstr>Vorfrucht</vt:lpstr>
      <vt:lpstr>Zwischenfrucht</vt:lpstr>
      <vt:lpstr>Boden</vt:lpstr>
      <vt:lpstr>org Dung</vt:lpstr>
      <vt:lpstr>Jahr</vt:lpstr>
      <vt:lpstr>reduzierte Empfehlung</vt:lpstr>
      <vt:lpstr>Programm!Druckbereich</vt:lpstr>
      <vt:lpstr>MaxGabe2</vt:lpstr>
      <vt:lpstr>MaxGabe3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Gabenschüttler</dc:title>
  <dc:creator>LfL - IAB 2b</dc:creator>
  <cp:lastModifiedBy>Deimel, R. (LfL)</cp:lastModifiedBy>
  <cp:lastPrinted>2024-02-09T06:15:26Z</cp:lastPrinted>
  <dcterms:created xsi:type="dcterms:W3CDTF">2022-11-15T11:31:55Z</dcterms:created>
  <dcterms:modified xsi:type="dcterms:W3CDTF">2025-08-29T07:36:43Z</dcterms:modified>
</cp:coreProperties>
</file>